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tabRatio="940" firstSheet="2" activeTab="5"/>
  </bookViews>
  <sheets>
    <sheet name="DIRECCION Y ORGANIZACION" sheetId="1" r:id="rId1"/>
    <sheet name="PEDAGOGICO Y DIDACTIVO" sheetId="2" r:id="rId2"/>
    <sheet name="PROCESOS FORMATIVOS" sheetId="3" r:id="rId3"/>
    <sheet name="ESCENARIOS REFLEXIVOS" sheetId="4" r:id="rId4"/>
    <sheet name="INNOVACION ALIANZA" sheetId="5" r:id="rId5"/>
    <sheet name="TECNOLOGIA E INFRAESTRUCTURA" sheetId="6" r:id="rId6"/>
    <sheet name="PRESUPUESTO" sheetId="7" r:id="rId7"/>
    <sheet name="ESTRATEGIAS" sheetId="8" r:id="rId8"/>
    <sheet name="ESTRATEGIAS (2)" sheetId="9" r:id="rId9"/>
  </sheets>
  <definedNames/>
  <calcPr fullCalcOnLoad="1"/>
</workbook>
</file>

<file path=xl/sharedStrings.xml><?xml version="1.0" encoding="utf-8"?>
<sst xmlns="http://schemas.openxmlformats.org/spreadsheetml/2006/main" count="650" uniqueCount="241">
  <si>
    <t>PLAN DE ACCION</t>
  </si>
  <si>
    <t>EJE ESTRATEGICO:    DIRECCION Y ORGANIZACIÓN</t>
  </si>
  <si>
    <t>ESTRATEGIA:</t>
  </si>
  <si>
    <t>MACROPROCESOS:</t>
  </si>
  <si>
    <t>MACROPROCESO 1.</t>
  </si>
  <si>
    <t>ACCIONES</t>
  </si>
  <si>
    <t>RECURSOS</t>
  </si>
  <si>
    <t>MEDIDAS DE DESEMPEÑO (INDICADORES)</t>
  </si>
  <si>
    <t>METAS POR AÑO</t>
  </si>
  <si>
    <t>RESPONSABLES Y PARTICIPANTES</t>
  </si>
  <si>
    <t>FUENTES DE FINANCIACION</t>
  </si>
  <si>
    <t>LINEA BASE 2009</t>
  </si>
  <si>
    <t>MACROPROCESO 2.</t>
  </si>
  <si>
    <t xml:space="preserve">OBJETIVO ESTRATÉGICO: </t>
  </si>
  <si>
    <t xml:space="preserve">OE1: Contar con un modelo participativo implementado del uso y apropiación de las TICs en los procesos educativos de la institución para fortalecer los procesos misionales.   </t>
  </si>
  <si>
    <t>E2: Gestionar y consolidar recursos para la implantación del modelo de uso de TICs para procesos educativos a partir de los procesos misionales de docencia, investigación e interacción social.</t>
  </si>
  <si>
    <t>Gestión de Recursos de Ejecución implantación del modelo</t>
  </si>
  <si>
    <t xml:space="preserve"> - Identificación de necesidades para la implantación del modelo
 - Fuente y Consecución de recursos internos y externos
 - Administración del recurso para la implementación del modelo"</t>
  </si>
  <si>
    <t>Gestión de Recursos para generación de cultura de uso y apropiación de Tics</t>
  </si>
  <si>
    <t xml:space="preserve"> - Identificación de necesidades de recursos externos para la generación de cultura
 - Fuente y Consecución de recursos externos
 - Administración del recurso para el proceso de cultura de uso y apropiación de TICs
</t>
  </si>
  <si>
    <t xml:space="preserve">OE2: Contar con políticas de uso y apropiación de las TICs articuladas a los procesos de planificación institucional.  </t>
  </si>
  <si>
    <t>E1: Formulación de una política institucional que fomente la cultura del uso y apropiación de las TICs.</t>
  </si>
  <si>
    <t>Directrices de promoción del uso de las TIC´s</t>
  </si>
  <si>
    <t xml:space="preserve"> - Definición de políticas institucionales
 - Normalización
 - Adopción y aplicación de herramientas</t>
  </si>
  <si>
    <t>OE2: Contar con políticas de uso y apropiación de las TICs articuladas a los procesos de planificación institucional.</t>
  </si>
  <si>
    <t>EJE ESTRATEGICO:    PEDAGOGICO Y DIDACTIVO</t>
  </si>
  <si>
    <t>• Modelo Participativo de uso de TICs
• Sistema de seguimiento y evaluación del Modelo de uso de TICs</t>
  </si>
  <si>
    <t>Modelo Participativo de uso de TICs</t>
  </si>
  <si>
    <t>Diseño del modelo participativo
Validación del diseño del modelo
Desarrollo del modelo</t>
  </si>
  <si>
    <t>Sistema de seguimiento y evaluación del Modelo de uso de TICs</t>
  </si>
  <si>
    <t xml:space="preserve">Diseño del sistema de seguimiento y evaluación 
Validación 
Implementación del sistema de seguimiento
</t>
  </si>
  <si>
    <t>OE4: Asegurar el uso de las TICS en los  modelos pedagógicos institucionales.</t>
  </si>
  <si>
    <t>• Aseguramiento del uso de Modelos pedagógicos</t>
  </si>
  <si>
    <t>Aseguramiento del uso de Modelos pedagógicos</t>
  </si>
  <si>
    <t xml:space="preserve"> - Definición de políticas de uso de modelos pedagógicos 
 - Normalización
 - Socialización</t>
  </si>
  <si>
    <t>E3: Adaptación de Modelos Pedagógicos para el uso de TICS en los procesos educativos</t>
  </si>
  <si>
    <t xml:space="preserve">• Adaptación y aplicación de Modelos pedagógicos </t>
  </si>
  <si>
    <t xml:space="preserve">Adaptación y aplicación de Modelos pedagógicos </t>
  </si>
  <si>
    <t>EJE ESTRATEGICO:    PROCESOS FORMATIVOS</t>
  </si>
  <si>
    <t xml:space="preserve">• Adaptación del Modelo pedagógico  </t>
  </si>
  <si>
    <t xml:space="preserve">Adaptación del Modelo pedagógico  </t>
  </si>
  <si>
    <t>Sensibilización
Socialización 
Seguimiento y evaluación</t>
  </si>
  <si>
    <t>OE3: Generar una cultura de uso y apropiación de las TICs en la comunidad universitaria que permita articular los procesos académicos, de investigación y proyección social.</t>
  </si>
  <si>
    <t>• Sensibilización Comunidad Universitaria
• Cualificación de los docentes, estudiantes y administrativos en el uso  de las TIC’s
• Evaluación de logros</t>
  </si>
  <si>
    <t>Sensibilización Comunidad Universitaria</t>
  </si>
  <si>
    <t>Cualificación de los docentes, estudiantes y administrativos en el uso  de las TIC’s</t>
  </si>
  <si>
    <t>MACROPROCESO 3.</t>
  </si>
  <si>
    <t>Evaluación de logros</t>
  </si>
  <si>
    <t xml:space="preserve"> - Capacitación
 - Divulgación 
 - Provisión de Herramientas</t>
  </si>
  <si>
    <t xml:space="preserve"> - Diseño de Evaluación
 - Aplicación y seguimiento</t>
  </si>
  <si>
    <t>OE5: Ampliar la infraestructura tecnológica de la institución encaminada a soportar el uso de las TIC’s  para propender por la innovación y optimización de las procesos educativos.</t>
  </si>
  <si>
    <t>• Ampliación de Infraestructura Tecnológica</t>
  </si>
  <si>
    <t>Ampliación de Infraestructura Tecnológica</t>
  </si>
  <si>
    <t>EJE ESTRATEGICO:  ESCENARIOS REFLEXIVOS SOBRE INVESTIGACION, CIENCIA Y TECNOLOGIA</t>
  </si>
  <si>
    <t xml:space="preserve">EJE ESTRATEGICO:    INNOVACION, INVESTIGACION, DESARROLLO Y ALIANZAS EN REDES ACADEMICAS, INTERCAMBIO Y ASESORIA EN TICS </t>
  </si>
  <si>
    <t>OE6: Conformar redes con entidades comprometidas con el uso y apropiación de las TICs.</t>
  </si>
  <si>
    <t>• Redes Institucionales comprometidas con uso y apropiación de TICs</t>
  </si>
  <si>
    <t>Redes Institucionales comprometidas con uso y apropiación de TICs</t>
  </si>
  <si>
    <t xml:space="preserve"> - Identificación de Instituciones
 - Establecimiento de Convenios de Cooperación y Alianzas</t>
  </si>
  <si>
    <t>EJE ESTRATEGICO:   TECNOLOGIAS E INFRAESTRUCTURA</t>
  </si>
  <si>
    <t>• Gestión de Recursos para adquisición de Infraestructura Adicional
• Ampliación de Infraestructura Tecnológica</t>
  </si>
  <si>
    <t>Gestión de Recursos para adquisición de Infraestructura Adicional</t>
  </si>
  <si>
    <t xml:space="preserve"> - Identificación de necesidades para la implantación del modelo
 - Fuente y Consecución de recursos internos y externos
 - Administración del recurso para la implementación del modelo</t>
  </si>
  <si>
    <t xml:space="preserve"> - Adquisición de Equipos de Computo
 - Adquisición de Servidores
 - Ampliación de Canales
 - Ampliación de la Red Institucional
 - Adquisición de Herramientas Tecnologías Especializadas
</t>
  </si>
  <si>
    <t>PRESUPUESTO DEL PLAN ESTRATEGICO PARA INCORPORACION DE TICS EN LOS PROCESOS EDUCATIVOS</t>
  </si>
  <si>
    <t>EJES ESTRATEGICOS</t>
  </si>
  <si>
    <t>SUBTOTAL EJES</t>
  </si>
  <si>
    <t>DIRECCION Y ORGANIZACIÓN</t>
  </si>
  <si>
    <t>PEDAGOGICO Y DIDACTIVO</t>
  </si>
  <si>
    <t>PROCESOS FORMATIVOS</t>
  </si>
  <si>
    <t>ESCENARIOS REFLEXIVOS SOBRE INVESTIGACION, CIENCIA Y TECNOLOGIA</t>
  </si>
  <si>
    <t xml:space="preserve">INNOVACION, INVESTIGACION, DESARROLLO Y ALIANZAS EN REDES ACADEMICAS, INTERCAMBIO Y ASESORIA EN TICS </t>
  </si>
  <si>
    <t>TECNOLOGIAS E INFRAESTRUCTURA</t>
  </si>
  <si>
    <t>TALENTO HUMANO INTERNO, PORTAL INSTITUCIONAL, VIDEO, DOCUMENTACION DIGITAL, EMIISORA 
ENCUESTA, CUESTIONARIO</t>
  </si>
  <si>
    <t xml:space="preserve">
I1 - Número de Docentes con proceso de sensibilización / total de docentes.
I2 -Número de Administrativos con proceso de sensibilización/ total de administrativos
</t>
  </si>
  <si>
    <t>I1= 0,  I2 = 0</t>
  </si>
  <si>
    <t>I1 = 30%       I2= 30%</t>
  </si>
  <si>
    <t>I1 = 70%       I2= 100%</t>
  </si>
  <si>
    <t>I1 = 100%       I2= 100%</t>
  </si>
  <si>
    <t>VICERRECTORIA ACADEMICA
PARTUICIPANTES:
GRUPO PLANESTIC
DIRECCION INTERACCION SOCIAL Y DESARROLLO TECNOLOGICO</t>
  </si>
  <si>
    <t>INTERNA</t>
  </si>
  <si>
    <t>I1=40%  I2=100%  I3=0%  I4=0%</t>
  </si>
  <si>
    <t>I1=100%  I2=100%  I3=60%  I4=20%</t>
  </si>
  <si>
    <t>I1=100%  I2=100%  I3=100%  I4=70%</t>
  </si>
  <si>
    <t>I1=100%  I2=100%  I3=100%  I4=100%</t>
  </si>
  <si>
    <t>VICERRECTORIA ACADEMICA
PARTICIPANTES:
GRUPO PLANESTIC FACULTADES
DIRECCION INTERACCION SOCIAL Y DESARROLLO TECNOLOGICO</t>
  </si>
  <si>
    <t>TALENTO HUMANO DEL CIADTI
TALENTO HUMANO DE GESTION DE PROYECTOS
DIRECCION ADMINISTRATIVA</t>
  </si>
  <si>
    <t>I = 0%</t>
  </si>
  <si>
    <t>I = 25%</t>
  </si>
  <si>
    <t>I = 40%</t>
  </si>
  <si>
    <t>I = 70%</t>
  </si>
  <si>
    <t>I = 90%</t>
  </si>
  <si>
    <t>I = 100 %</t>
  </si>
  <si>
    <t>DIRECCION ADMINISTRATIVA
DIRECCION DE INTERACCION SOCIAL Y DESARROLLO TECNOLOGICO</t>
  </si>
  <si>
    <t>TALENTO HUMANO INSTITUCION
RECURSOS DISPONIBLES PARA ADQUISICION DE INFRESTRUCTURA Y TECNOLOGIA</t>
  </si>
  <si>
    <t>I1: Número de Computadores para la docencia / Total de Computadores</t>
  </si>
  <si>
    <t xml:space="preserve">I2: Número de Servidores dedicados a inconporación TIC en Docencia  / Total de Servidores </t>
  </si>
  <si>
    <t>I3: Ancho de Banda Canal Internet a incorporación de TICs / Total Ancho de Banda Internet Institucional</t>
  </si>
  <si>
    <t>I4: Número de nodos de red para incorporación de TICS / Total Nodos Institucionales</t>
  </si>
  <si>
    <t>I5: Número de herramientas adquiridas / Total de Herramientas definidas TICs</t>
  </si>
  <si>
    <t>DIRECCION ADMINISTRATIVA
ALMACEN
DIRECCION DE INTERACCION SOCIAL Y DESARROLLO TECNOLOGICO</t>
  </si>
  <si>
    <t>RECURSOS EXTERNOS E INTERNOS</t>
  </si>
  <si>
    <t>Ampliación de Recursos Bibliográficos</t>
  </si>
  <si>
    <t>I1 = 58%, I2= 20%, I3= 35%; I4= 50%; I5 = 0</t>
  </si>
  <si>
    <t>I1 = 60%; I2 = 25%; I3 = 40%; I4 = 60%; I5= 20%</t>
  </si>
  <si>
    <t>I1 = 65%; I2 = 35%; I3= 45%; I4 = 65%; I5= 50%</t>
  </si>
  <si>
    <t>I1 = 70%; I2 = 40%; I3=50%; I4 = 70%; I5 = 60%</t>
  </si>
  <si>
    <t>I1 = 75%; I2 = 50%; I3 = 50%; I4= 80%; I5 = 80%</t>
  </si>
  <si>
    <t>I1 = 75%; I2 = 60%; I3 = 65%; I4 = 90%; I5 = 100%</t>
  </si>
  <si>
    <t>I1:  RECURSOS DISPONIBLES / TOTAL DE RECURSOS REQUERIDOS PARA MODELO</t>
  </si>
  <si>
    <t>I1 = 0%</t>
  </si>
  <si>
    <t>I1 = 45%</t>
  </si>
  <si>
    <t>I1 = 80%</t>
  </si>
  <si>
    <t>I1 = 100%</t>
  </si>
  <si>
    <t>TALENTO HUMANO INSTITUCIONAL</t>
  </si>
  <si>
    <t>I1= 0</t>
  </si>
  <si>
    <t>I1=5%</t>
  </si>
  <si>
    <t>I1=10%</t>
  </si>
  <si>
    <t>I1=15%</t>
  </si>
  <si>
    <t>I1=20%</t>
  </si>
  <si>
    <t>I1= 25%</t>
  </si>
  <si>
    <t xml:space="preserve">I1= Número de políticas institucionales implementadas  / políticas institucionales definidas.
</t>
  </si>
  <si>
    <t>I1= 20%</t>
  </si>
  <si>
    <t>I1= 40%</t>
  </si>
  <si>
    <t>I1= 60%</t>
  </si>
  <si>
    <t>I1= 80%</t>
  </si>
  <si>
    <t>I1= 100%</t>
  </si>
  <si>
    <t>I1 Número de documentos que definen el modelo por unidad de trabajo.
I2 Número de Facultades y demás unidades académico administrativas participantes  del diseño / Total de unidades académico administrativas.
I3 Número de procesos del modelo implementados / Procesos del modelo.
I4 Número de cursos o asignaturas que incorporan TICs para su desarrollo/ Total de cursos o asignaturas.</t>
  </si>
  <si>
    <t>TALENTO HUMANO, SOFTWARE, PLATAFORMA TECNOLOGICA</t>
  </si>
  <si>
    <t>I1 Número de funcionalidades diseñadas / total de funcionalidades   
I2 Número de docentes que emplean TICs en los procesos educativos / total de docentes
I3 Número de estudiantes que emplean TICs en los procesos educativos / total de estudiantes.</t>
  </si>
  <si>
    <t>DIRECCION DE ITERACCION SOCIAL, DESARROLLO TECNOLOGICO, FACULTADES</t>
  </si>
  <si>
    <t>I1=0%   I2=0%   I3=0%</t>
  </si>
  <si>
    <t>I1=100%   I2=20%   I3=20%</t>
  </si>
  <si>
    <t>I1=100%   I2=70%   I3=70%</t>
  </si>
  <si>
    <t>I1=100%   I2=100%   I3=100%</t>
  </si>
  <si>
    <t xml:space="preserve">VICERRECTORIA ACADEMICA
PARTICIPANTES:
GRUPO PLANESTIC FACULTADES
</t>
  </si>
  <si>
    <t>Implementación de los modelos pedagógicos</t>
  </si>
  <si>
    <t>TALENTO HUMANO INSTITUCIONAL, AYUDAS AUDIOVISUALES, PORTAL, RECURSOS TECNOLOGICOS</t>
  </si>
  <si>
    <t xml:space="preserve">I1= Número de planes de estudios aplicando modelos pedagógicos que incorporen el uso transversal de TIC/ Total de Planes de Estudios.
I2= Número de herramientas TICs utilizadas en los procesos educativos / Total de Herramientas disponibles en la institución
</t>
  </si>
  <si>
    <t>Definición de Herramientas Tecnologías Especializadas</t>
  </si>
  <si>
    <t>EQUIPOS TECNOLOGICOS, SOFTWARE, SERVIDORES, ANCHO DE BANDA</t>
  </si>
  <si>
    <t xml:space="preserve">I1 Número de software especializados / total de software
</t>
  </si>
  <si>
    <t>DIRECCION ADMINISTRATIVA  PARTICIPANTES: DIRECCION DE ITERACCION SOCIAL, DESARROLLO TECNOLOGICO</t>
  </si>
  <si>
    <t>INTERNO</t>
  </si>
  <si>
    <t>I1=50%</t>
  </si>
  <si>
    <t>I1=80%</t>
  </si>
  <si>
    <t>I1=100%</t>
  </si>
  <si>
    <t xml:space="preserve">Proyecto de Investigación para el Diseño del sistema de seguimiento y evaluación 
</t>
  </si>
  <si>
    <t>I1 = 3%</t>
  </si>
  <si>
    <t>I1 = 5%</t>
  </si>
  <si>
    <t>I1 = 7%</t>
  </si>
  <si>
    <t>I1= 10%</t>
  </si>
  <si>
    <t>DIRECCION DE INVESTIGACIONES
GRUPOS DE INVESTIGACIONES</t>
  </si>
  <si>
    <t>Desarrollo de proyectos de investigación en diseño y validación del modelo</t>
  </si>
  <si>
    <t>I1 = 10%</t>
  </si>
  <si>
    <t>I1 = 12%</t>
  </si>
  <si>
    <t>I1= 15%</t>
  </si>
  <si>
    <t>I1= Número de proyectos de Investigación en diseño del modelo de uso de TICs en los procesos educativos / Total de Proyectos de InvestigacIón</t>
  </si>
  <si>
    <t>I1= Número de proyectos de Investigación en sistemas de seguimiento de uso de TICs en los procesos educativos / Total de Proyectos de InvestigacIón</t>
  </si>
  <si>
    <t>INTERNA Y EXTERNA</t>
  </si>
  <si>
    <t xml:space="preserve"> - Diagnostico 
- Socialización del Modelo Participativo 
- Incentivos a la Comunidad</t>
  </si>
  <si>
    <t xml:space="preserve">TALENTO HUMANO INTERNO, PORTAL INSTITUCIONAL, VIDEO, DOCUMENTACION DIGITAL, EMIISORA 
</t>
  </si>
  <si>
    <t>VICERRECTORIA ACADEMICA
PARTUICIPANTES:
GRUPO PLANESTIC
FACULTADES</t>
  </si>
  <si>
    <t>TALENTO HUMANO INTERNO, PORTAL INSTITUCIONAL, VIDEO, DOCUMENTACION DIGITAL, EMIISORA 
ENCUESTA, CUESTIONARIO</t>
  </si>
  <si>
    <t xml:space="preserve">I1=Número de planes de estudios aplicando modelos pedagógicos que incorporen el uso transversal de TIC/ Total de Planes de Estudios.
I2= Número de herramientas TICs utilizadas en los procesos educativos / Total de Herramientas disponibles en la institución
</t>
  </si>
  <si>
    <t xml:space="preserve">I1=0%   I2=0%   </t>
  </si>
  <si>
    <t>I1=5%   I2=10%</t>
  </si>
  <si>
    <t>I1=25%   I2=40%</t>
  </si>
  <si>
    <t>I1=50%   I2=50%</t>
  </si>
  <si>
    <t>I1=75%   I2=80%</t>
  </si>
  <si>
    <t xml:space="preserve">I1=100%   I2=100%   </t>
  </si>
  <si>
    <t>COLCIENCIAS E INTERNOS</t>
  </si>
  <si>
    <t>I1= 0, I2 = 0, I3= 0, I4 = 0, I5= 0, I6 = 0, I7=0</t>
  </si>
  <si>
    <t xml:space="preserve">I1= Número de eventos de capacitación desarrollados/Total de eventos programados
I2= Número de docentes capacitados/Total de docentes.
I3= Número de estudiantes capacitados / Total de estudiantes.
I4= Número de cursos desarrollados a través del uso de TIC/Total de Cursos.
I5= Número de Programas desarrollados a través  de TICs/Total de Programas
I6= Número de docentes formados para el uso de TICs en los procesos educativos/Total de Docentes
</t>
  </si>
  <si>
    <t>I1=20%, I2=15%, I3=5%, I4=5%, I5=5%, I6=10%</t>
  </si>
  <si>
    <t>I1=35%, I2=50%, I3=25%, I4=25%, I5=10%, I6=20%</t>
  </si>
  <si>
    <t>I1=50%, I2=75%, I3=40%, I4=50%, I5=25%, I6=35%</t>
  </si>
  <si>
    <t>I1=80%, I2=95%, I3=60%, I4=65%, I5=45%, I6=50%</t>
  </si>
  <si>
    <t>I1=20%, I2=15%, I3=5%, I4=5%, I5=80%, I6=75%</t>
  </si>
  <si>
    <t>TALENTO HUMANO, SOFTWARE, PLATAFORMA TECNOLOGICA
ENCUESTAS, CUESTIONARIOS, ENTREVISTAS</t>
  </si>
  <si>
    <t xml:space="preserve">TALENTO HUMANO INTERNO, Bibliografia de la facultad de educacion, DOCUMENTACION DIGITAL 
ENCUESTA, CUESTIONARIO                                                                                                                                                                               
Aulas Virtuales y multimedia        </t>
  </si>
  <si>
    <t>I1:  RECURSOS DISPONIBLES / TOTAL DE RECURSOS REQUERIDOS PARA POLITICAS DE USO Y APROPIACIÓN DE TICS</t>
  </si>
  <si>
    <t xml:space="preserve">I1: Número de acuerdos de cooperación con entidades e instituciones de educación superior para el uso de TICs en la educación / Total de acuerdos institucionales académicos </t>
  </si>
  <si>
    <t>I1:  RECURSOS DISPONIBLES / TOTAL DE RECURSOS REQUERIDOS PARA INFRAESTRUCTURA Y TECNOLOGIA</t>
  </si>
  <si>
    <t>DISEÑO Y GESTION DE LAS ESTRATEGIAS</t>
  </si>
  <si>
    <t>VISION</t>
  </si>
  <si>
    <t>OBJETIVOS ESTRATEGICOS</t>
  </si>
  <si>
    <t>ESTRATEGIAS</t>
  </si>
  <si>
    <t>MACROPROCESOS</t>
  </si>
  <si>
    <t>INDICADORES</t>
  </si>
  <si>
    <t>Para el año 2014, la Universidad de Pamplona será una institución reconocida en la región nororiental por tener implementado un modelo integral del uso y apropiación de las TIC en sus procesos educativos para fortalecer la academia, la investigación y la proyección social como respuesta a las exigencias de la nación y la  zona fronteriza colombo-venezolana.</t>
  </si>
  <si>
    <t>OE1: Contar con un modelo participativo implementado del uso y apropiación de las TICs en los procesos educativos de la institución para fortalecer los procesos misionales.</t>
  </si>
  <si>
    <t xml:space="preserve">E1: Formulación de una política institucional que fomente la cultura del uso y apropiación de las TICs.
E2: Gestionar y consolidar recursos para la implantación del modelo de uso de TICs para procesos educativos a partir de los procesos misionales de docencia, investigación e interacción social.
E3: Diseño de Modelos Pedagógicos Propios con usos de TICS
</t>
  </si>
  <si>
    <t xml:space="preserve">• Recursos disponibles / total de recursos requeridos para modelo
• Número de documentos que definen el modelo por unidad de trabajo.
• Número de Facultades y demás unidades académico administrativas participantes  del diseño / Total de unidades académico administrativas.
• Número de procesos del modelo implementados / Procesos del modelo
• Número de funcionalidades diseñadas SEM / total de funcionalidades SEM
• Número de docentes que emplean TICs en los procesos educativos / total de docentes
• Número de estudiantes que emplean TICs en los procesos educativos / total de estudiantes.
• Número de Docentes con proceso de sensibilización / total de docentes.
• Número de Administrativos con proceso de sensibilización/ total de administrativos
• Número de proyectos de Investigación en diseño del modelo de uso de TICs en los procesos educativos / Total de Proyectos de Investigación
• Número de proyectos de Investigación en sistemas de seguimiento de uso de TICs en los procesos educativos / Total de Proyectos de Investigación
</t>
  </si>
  <si>
    <t xml:space="preserve">
OE2: Contar con políticas de uso y apropiación de las TICs articuladas a los procesos de planificación institucional.
</t>
  </si>
  <si>
    <t>• Directrices de promoción del uso de las TIC´s</t>
  </si>
  <si>
    <t xml:space="preserve">• Recursos disponibles / total de recursos requeridos para políticas de uso y apropiación de tics
• Número de políticas institucionales implementadas  / políticas institucionales definidas.
</t>
  </si>
  <si>
    <t xml:space="preserve">E1: Formulación de una política institucional que fomente la cultura del uso y apropiación de las TICs.
E2: Gestionar y consolidar recursos para la implantación del modelo de uso de TICs para procesos educativos a partir de los procesos misionales de docencia, investigación e interacción social.
</t>
  </si>
  <si>
    <t xml:space="preserve">• Reglamentación Institucional
• Sensibilización Comunidad Académica
• Formación de los docentes, estudiantes y administrativos en el uso técnico de las TIC’s
• Gestión de Recursos 
• Incentivos Docentes
• Desarrollo de Objetos Virtuales de Aprendizaje como soporte a la educación
• Aplicación de  herramientas tecnológicas en procesos educativos
</t>
  </si>
  <si>
    <t xml:space="preserve">• Número de Docentes con proceso de sensibilización / total de docentes.
• Número de Administrativos con proceso de sensibilización/ total de administrativos
• Número de eventos de capacitación desarrollados/Total de eventos programados
• Número de docentes capacitados/Total de docentes.
• Número de estudiantes capacitados / Total de estudiantes.
• Número de cursos desarrollados a través del uso de TIC/Total de Cursos.
• Número de Programas desarrollados a través  de TICs/Total de Programas
• Número de docentes formados para el uso de TICs en los procesos educativos/Total de Docentes
• Número de planes de estudios aplicando modelos pedagógicos que incorporen el uso transversal de TIC/ Total de Planes de Estudios.
• Número de herramientas TICs utilizadas en los procesos educativos / Total de Herramientas disponibles en la institución
</t>
  </si>
  <si>
    <t xml:space="preserve">OE4: Asegurar el desarrollo de los modelos pedagógicos que incorporen activamente y se fortalezcan con el uso de las TICs. </t>
  </si>
  <si>
    <t xml:space="preserve">E1: Formulación de una política institucional que fomente la cultura del uso y apropiación de las TICs.
E3: Diseño de Modelos Pedagógicos Propios con usos de TICS
</t>
  </si>
  <si>
    <t xml:space="preserve">• Número de planes de estudios aplicando modelos pedagógicos que incorporen el uso transversal de TIC/ Total de Planes de Estudios.
• Número de herramientas TICs utilizadas en los procesos educativos / Total de Herramientas disponibles en la institución
</t>
  </si>
  <si>
    <t xml:space="preserve">E2: Gestionar y consolidar recursos para la implantación del modelo de uso de TICs para procesos educativos a partir de los procesos misionales de docencia, investigación e interacción social.
</t>
  </si>
  <si>
    <t xml:space="preserve">• Número de software especializados / total de software para el modelo
• Recursos disponibles / total de recursos requeridos para infraestructura y tecnología
• Número de Computadores para la docencia / Total de Computadores
• Número de Servidores dedicados a incorporación TIC en Docencia  / Total de Servidores 
• Ancho de Banda Canal Internet a incorporación de TICs / Total Ancho de Banda Internet Institucional
• Número de nodos de red para incorporación de TICS / Total Nodos Institucionales
• Número de herramientas adquiridas / Total de Herramientas definidas TICs
</t>
  </si>
  <si>
    <t xml:space="preserve">
OE6: Conformar redes con entidades comprometidas con el uso y apropiación de las TICs.</t>
  </si>
  <si>
    <t xml:space="preserve">E1: Formulación de una política institucional que fomente la cultura del uso y apropiación de las TICs.
</t>
  </si>
  <si>
    <t>• Redes Institucionales</t>
  </si>
  <si>
    <t xml:space="preserve">• Número de acuerdos de cooperación con entidades e instituciones de educación superior para el uso de TICs en la educación / Total de acuerdos institucionales académicos </t>
  </si>
  <si>
    <t xml:space="preserve">• Modelo Participativo de uso de TICs
• Sistema de seguimiento del Modelo de uso de TICs
• Gestión de Recursos para el desarrollo del modelo participativo
• Adaptación del Modelo pedagógico  
</t>
  </si>
  <si>
    <t>• Reglamentación Institucional 
• Aseguramiento del uso de Modelos pedagógicos</t>
  </si>
  <si>
    <t>• Ampliación de Infraestructura Tecnológica
• Gestión de Recursos 
• Ampliación de Recursos Bibliográficos</t>
  </si>
  <si>
    <t>TALENTO HUMANO DEL CIADTI
TALENTO HUMANO DE GESTION DE PROYECTOS
DIRECCION ADMINISTRATIVA
PORTAL INSTITUCIONAL</t>
  </si>
  <si>
    <t>TALENTO HUMANO DEL CIADTI
TALENTO HUMANO DE GESTION DE PROYECTOS
DIRECCION ADMINISTRATIVA
MEDIOS AUDIOVISUALES
PORTAL INSTITUCIONAL</t>
  </si>
  <si>
    <t>DIRECCION ADMINISTRATIVA
TALENTO HUMANO DEL CIADTI
TALENTO HUMANO DE GESTION DE PROYECTOS
OFICINA JURIDICA
OFICINA PLANEACION</t>
  </si>
  <si>
    <t>OFICINA PLANEACION
OFICINA JURIDICA
SECRETARIA GENERAL</t>
  </si>
  <si>
    <t>DIRECCION INTERACCION SOCIAL Y DESARROLLO TECNOLOGICO
VICEACADEMICA
DOCENTES
DIRECCION DE INVESTIGACIONES
OFICINA JURIDICA</t>
  </si>
  <si>
    <t>VICERRECTORIA ACADEMICA
BIBILIOTECA JOSE RAFAEL FARIA BERMUDEZ
DIRECCION DE INTERACCION SOCIAL Y DESARROLLO TECNOLOGICO
OFICINA DE PLANEACION</t>
  </si>
  <si>
    <t>I1= 1/ 15000; I2 = 0%; I3=0%</t>
  </si>
  <si>
    <t>I1= 3/ 15000; I2 = 66%; I3=50%</t>
  </si>
  <si>
    <t>TALENTO HUMANO DE BIBLIOTECA
TECNICO DE SISTEMAS
INFRAESTRUCTURA FISICA
PERSONAL DE DIRECCION DE INTERACCION SOCIAL Y DESARROLLO TECNOLOGICO
RECURSOS TECNOLOGICOS
SISTEMA DE INFORMACION BIBLIOGRAFICO</t>
  </si>
  <si>
    <t>Dotación y Renovación de Equipos de Cómputo
Licenciamiento de Software
Alfabetización Informacional
Adquisición de Bancos y bases de Datos
Aulas Múltiples</t>
  </si>
  <si>
    <t xml:space="preserve">I1= Número de Bibliotecólogos / Total de Estudiantes
I2 = Número de Aulas Implementadas / Total de Aulas Definidas
I3 = Número de Personas alfabetizadas en NTICs / Total de Personas Comunidad Académica
</t>
  </si>
  <si>
    <t>I1= 4/ 15000; I2 = 100%; I3=65%</t>
  </si>
  <si>
    <t>I1= 3/ 15000; I2 = 66%; I3=35%</t>
  </si>
  <si>
    <t>I1= 2/ 15000; I2 = 33%; I3=25%</t>
  </si>
  <si>
    <t>I1= 2/ 15000; I2 = 0%; I3=5%</t>
  </si>
  <si>
    <t>PRESUPUESTO RECURSOS EXTERNOS POR CONSEGUIR</t>
  </si>
  <si>
    <t>INTERNOS</t>
  </si>
  <si>
    <t>PRESUPUESTO RECURSOS PROPIOS POR CONSEGUIR</t>
  </si>
  <si>
    <t>PRESUPUESTO RECURSOS PROPIOS CON QUE SE CUENTA</t>
  </si>
  <si>
    <t>SUBTOTAL ANUAL POR EJE ESTRATEGICO</t>
  </si>
  <si>
    <t>INTERNA Y COLCIENCIAS</t>
  </si>
  <si>
    <t>INTERNA Y CONVENIOS</t>
  </si>
  <si>
    <t>TOTAL POR TIPO DE PRESUPUESTO</t>
  </si>
  <si>
    <t>TOTAL ANUAL</t>
  </si>
  <si>
    <t>TOTAL  AÑUAL</t>
  </si>
  <si>
    <t>INTERNA Y EXTERNA (Sena, MEN)</t>
  </si>
  <si>
    <t>COLCIENCIAS Y/O INTERNOS</t>
  </si>
  <si>
    <t>INDICADORES DE IMPACTO</t>
  </si>
  <si>
    <t>Cobertura
  • Porcentaje de población atendida en relación con:
     o Capacidad de la universidad
     o Instituciones similares
     o Demanda de los aspirantes
  • Porcentaje de la población que concluyó sus estudios en el tiempo estándar
  • Porcentaje de egresados que continuó estudios de posgrado, obtuvo empleo o emprendió un negocio en el año posterior a su egreso.
  • Aumento de oferta de programas
  • Aumento de material virtual de aprendizaje
Satisfacción de requerimientos del cliente
  • Nivel de satisfacción de estudiantes, egresados y empresarios o funcionarios públicos para con la institución, en aspectos como:
     o Contenido de los programas y materias.
     o Flexibilidad en los planes de estudio.
     o Calidad del personal docente y administrativo.
     o Instalaciones adecuadas (biblioteca, aulas,  espacios académicos, seguridad).
     o Requisitos y tiempo de atención en trámites.
     o Bolsa de trabajo.
Imagen de la Institución
  • Prestigio ético y profesional en la comunidad por:
     o Calidad de la enseñanza.
     o Calidad del personal docente y administrativo.
     o Adecuación de las instalaciones (comodidad, higiene, seguridad, tecnología).
     o Contribución a la solución de problemas sociales.
Costo/beneficio
  • Costo unitario por alumno egresado.
  • Costo de deserción de alumnos.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</si>
</sst>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8"/>
      <color indexed="9"/>
      <name val="Arial"/>
      <family val="2"/>
    </font>
    <font>
      <sz val="16"/>
      <color indexed="8"/>
      <name val="Arial"/>
      <family val="2"/>
    </font>
    <font>
      <b/>
      <sz val="24"/>
      <color indexed="8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36"/>
      <color indexed="8"/>
      <name val="Arial"/>
      <family val="2"/>
    </font>
    <font>
      <b/>
      <sz val="28"/>
      <color indexed="9"/>
      <name val="Arial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sz val="18"/>
      <color indexed="8"/>
      <name val="Calibri"/>
      <family val="2"/>
    </font>
    <font>
      <sz val="13"/>
      <color indexed="8"/>
      <name val="Arial"/>
      <family val="2"/>
    </font>
    <font>
      <sz val="20"/>
      <color indexed="8"/>
      <name val="Calibri"/>
      <family val="2"/>
    </font>
    <font>
      <sz val="22"/>
      <color indexed="8"/>
      <name val="Arial"/>
      <family val="2"/>
    </font>
    <font>
      <sz val="22"/>
      <color indexed="8"/>
      <name val="Calibri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2"/>
      <color indexed="9"/>
      <name val="Arial"/>
      <family val="2"/>
    </font>
    <font>
      <sz val="26"/>
      <color indexed="8"/>
      <name val="Arial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6"/>
      <color theme="0"/>
      <name val="Arial"/>
      <family val="2"/>
    </font>
    <font>
      <sz val="18"/>
      <color theme="0"/>
      <name val="Arial"/>
      <family val="2"/>
    </font>
    <font>
      <sz val="16"/>
      <color theme="1"/>
      <name val="Arial"/>
      <family val="2"/>
    </font>
    <font>
      <b/>
      <sz val="24"/>
      <color theme="1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  <font>
      <sz val="22"/>
      <color theme="0"/>
      <name val="Arial"/>
      <family val="2"/>
    </font>
    <font>
      <sz val="26"/>
      <color theme="1"/>
      <name val="Arial"/>
      <family val="2"/>
    </font>
    <font>
      <b/>
      <sz val="36"/>
      <color theme="1"/>
      <name val="Arial"/>
      <family val="2"/>
    </font>
    <font>
      <b/>
      <sz val="28"/>
      <color theme="0"/>
      <name val="Arial"/>
      <family val="2"/>
    </font>
    <font>
      <sz val="13"/>
      <color theme="1"/>
      <name val="Arial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83">
    <xf numFmtId="0" fontId="0" fillId="0" borderId="0" xfId="0" applyFont="1" applyAlignment="1">
      <alignment/>
    </xf>
    <xf numFmtId="0" fontId="66" fillId="1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7" fillId="33" borderId="14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 wrapText="1"/>
    </xf>
    <xf numFmtId="0" fontId="67" fillId="33" borderId="15" xfId="0" applyFont="1" applyFill="1" applyBorder="1" applyAlignment="1">
      <alignment horizontal="center" wrapText="1"/>
    </xf>
    <xf numFmtId="0" fontId="67" fillId="33" borderId="16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10" borderId="19" xfId="0" applyFont="1" applyFill="1" applyBorder="1" applyAlignment="1">
      <alignment vertical="center"/>
    </xf>
    <xf numFmtId="0" fontId="68" fillId="10" borderId="20" xfId="0" applyFont="1" applyFill="1" applyBorder="1" applyAlignment="1">
      <alignment/>
    </xf>
    <xf numFmtId="0" fontId="68" fillId="0" borderId="21" xfId="0" applyFont="1" applyBorder="1" applyAlignment="1">
      <alignment horizontal="center"/>
    </xf>
    <xf numFmtId="46" fontId="68" fillId="0" borderId="22" xfId="0" applyNumberFormat="1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2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69" fillId="33" borderId="14" xfId="48" applyFont="1" applyFill="1" applyBorder="1" applyAlignment="1">
      <alignment/>
    </xf>
    <xf numFmtId="44" fontId="70" fillId="34" borderId="14" xfId="0" applyNumberFormat="1" applyFont="1" applyFill="1" applyBorder="1" applyAlignment="1">
      <alignment/>
    </xf>
    <xf numFmtId="44" fontId="71" fillId="0" borderId="27" xfId="48" applyFont="1" applyBorder="1" applyAlignment="1">
      <alignment/>
    </xf>
    <xf numFmtId="0" fontId="68" fillId="0" borderId="28" xfId="0" applyFont="1" applyBorder="1" applyAlignment="1">
      <alignment horizontal="center"/>
    </xf>
    <xf numFmtId="44" fontId="68" fillId="0" borderId="28" xfId="48" applyFont="1" applyBorder="1" applyAlignment="1">
      <alignment/>
    </xf>
    <xf numFmtId="44" fontId="68" fillId="0" borderId="29" xfId="48" applyFont="1" applyBorder="1" applyAlignment="1">
      <alignment/>
    </xf>
    <xf numFmtId="44" fontId="68" fillId="0" borderId="27" xfId="48" applyFont="1" applyBorder="1" applyAlignment="1">
      <alignment/>
    </xf>
    <xf numFmtId="44" fontId="71" fillId="0" borderId="28" xfId="48" applyFont="1" applyBorder="1" applyAlignment="1">
      <alignment/>
    </xf>
    <xf numFmtId="164" fontId="71" fillId="0" borderId="30" xfId="0" applyNumberFormat="1" applyFont="1" applyFill="1" applyBorder="1" applyAlignment="1">
      <alignment vertical="center"/>
    </xf>
    <xf numFmtId="164" fontId="71" fillId="0" borderId="31" xfId="0" applyNumberFormat="1" applyFont="1" applyFill="1" applyBorder="1" applyAlignment="1">
      <alignment vertical="center"/>
    </xf>
    <xf numFmtId="164" fontId="71" fillId="10" borderId="30" xfId="0" applyNumberFormat="1" applyFont="1" applyFill="1" applyBorder="1" applyAlignment="1">
      <alignment vertical="center"/>
    </xf>
    <xf numFmtId="164" fontId="71" fillId="10" borderId="31" xfId="0" applyNumberFormat="1" applyFont="1" applyFill="1" applyBorder="1" applyAlignment="1">
      <alignment vertical="center"/>
    </xf>
    <xf numFmtId="0" fontId="72" fillId="0" borderId="0" xfId="0" applyFont="1" applyAlignment="1">
      <alignment horizontal="center"/>
    </xf>
    <xf numFmtId="0" fontId="73" fillId="33" borderId="20" xfId="0" applyFont="1" applyFill="1" applyBorder="1" applyAlignment="1">
      <alignment horizontal="center"/>
    </xf>
    <xf numFmtId="0" fontId="26" fillId="0" borderId="32" xfId="0" applyFont="1" applyBorder="1" applyAlignment="1">
      <alignment vertical="center" wrapText="1"/>
    </xf>
    <xf numFmtId="0" fontId="74" fillId="0" borderId="32" xfId="0" applyFont="1" applyBorder="1" applyAlignment="1">
      <alignment vertical="center" wrapText="1"/>
    </xf>
    <xf numFmtId="0" fontId="74" fillId="0" borderId="32" xfId="0" applyFont="1" applyBorder="1" applyAlignment="1">
      <alignment vertical="top" wrapText="1"/>
    </xf>
    <xf numFmtId="0" fontId="75" fillId="0" borderId="32" xfId="0" applyFont="1" applyBorder="1" applyAlignment="1">
      <alignment vertical="top" wrapText="1"/>
    </xf>
    <xf numFmtId="0" fontId="26" fillId="0" borderId="14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74" fillId="0" borderId="33" xfId="0" applyFont="1" applyBorder="1" applyAlignment="1">
      <alignment vertical="top" wrapText="1"/>
    </xf>
    <xf numFmtId="0" fontId="74" fillId="0" borderId="33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4" fillId="0" borderId="14" xfId="0" applyFont="1" applyBorder="1" applyAlignment="1">
      <alignment vertical="top" wrapText="1"/>
    </xf>
    <xf numFmtId="0" fontId="26" fillId="0" borderId="34" xfId="0" applyFont="1" applyBorder="1" applyAlignment="1">
      <alignment vertical="center" wrapText="1"/>
    </xf>
    <xf numFmtId="0" fontId="74" fillId="0" borderId="34" xfId="0" applyFont="1" applyBorder="1" applyAlignment="1">
      <alignment vertical="center" wrapText="1"/>
    </xf>
    <xf numFmtId="0" fontId="74" fillId="0" borderId="34" xfId="0" applyFont="1" applyBorder="1" applyAlignment="1">
      <alignment vertical="top" wrapText="1"/>
    </xf>
    <xf numFmtId="0" fontId="72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76" fillId="34" borderId="35" xfId="0" applyFont="1" applyFill="1" applyBorder="1" applyAlignment="1">
      <alignment horizontal="center" vertical="center"/>
    </xf>
    <xf numFmtId="0" fontId="76" fillId="34" borderId="36" xfId="0" applyFont="1" applyFill="1" applyBorder="1" applyAlignment="1">
      <alignment horizontal="center" vertical="center"/>
    </xf>
    <xf numFmtId="164" fontId="71" fillId="0" borderId="18" xfId="0" applyNumberFormat="1" applyFont="1" applyFill="1" applyBorder="1" applyAlignment="1">
      <alignment vertical="center"/>
    </xf>
    <xf numFmtId="164" fontId="71" fillId="0" borderId="37" xfId="0" applyNumberFormat="1" applyFont="1" applyFill="1" applyBorder="1" applyAlignment="1">
      <alignment vertical="center"/>
    </xf>
    <xf numFmtId="164" fontId="71" fillId="0" borderId="38" xfId="0" applyNumberFormat="1" applyFont="1" applyFill="1" applyBorder="1" applyAlignment="1">
      <alignment vertical="center"/>
    </xf>
    <xf numFmtId="164" fontId="71" fillId="0" borderId="21" xfId="0" applyNumberFormat="1" applyFont="1" applyFill="1" applyBorder="1" applyAlignment="1">
      <alignment vertical="center"/>
    </xf>
    <xf numFmtId="164" fontId="71" fillId="0" borderId="24" xfId="0" applyNumberFormat="1" applyFont="1" applyFill="1" applyBorder="1" applyAlignment="1">
      <alignment vertical="center"/>
    </xf>
    <xf numFmtId="164" fontId="71" fillId="0" borderId="39" xfId="0" applyNumberFormat="1" applyFont="1" applyFill="1" applyBorder="1" applyAlignment="1">
      <alignment vertical="center"/>
    </xf>
    <xf numFmtId="164" fontId="71" fillId="0" borderId="40" xfId="0" applyNumberFormat="1" applyFont="1" applyFill="1" applyBorder="1" applyAlignment="1">
      <alignment vertical="center"/>
    </xf>
    <xf numFmtId="164" fontId="71" fillId="10" borderId="18" xfId="0" applyNumberFormat="1" applyFont="1" applyFill="1" applyBorder="1" applyAlignment="1">
      <alignment vertical="center"/>
    </xf>
    <xf numFmtId="164" fontId="71" fillId="10" borderId="37" xfId="0" applyNumberFormat="1" applyFont="1" applyFill="1" applyBorder="1" applyAlignment="1">
      <alignment vertical="center"/>
    </xf>
    <xf numFmtId="164" fontId="71" fillId="10" borderId="38" xfId="0" applyNumberFormat="1" applyFont="1" applyFill="1" applyBorder="1" applyAlignment="1">
      <alignment vertical="center"/>
    </xf>
    <xf numFmtId="164" fontId="71" fillId="10" borderId="21" xfId="0" applyNumberFormat="1" applyFont="1" applyFill="1" applyBorder="1" applyAlignment="1">
      <alignment vertical="center"/>
    </xf>
    <xf numFmtId="164" fontId="71" fillId="10" borderId="24" xfId="0" applyNumberFormat="1" applyFont="1" applyFill="1" applyBorder="1" applyAlignment="1">
      <alignment vertical="center"/>
    </xf>
    <xf numFmtId="164" fontId="71" fillId="10" borderId="39" xfId="0" applyNumberFormat="1" applyFont="1" applyFill="1" applyBorder="1" applyAlignment="1">
      <alignment vertical="center"/>
    </xf>
    <xf numFmtId="164" fontId="71" fillId="10" borderId="40" xfId="0" applyNumberFormat="1" applyFont="1" applyFill="1" applyBorder="1" applyAlignment="1">
      <alignment vertical="center"/>
    </xf>
    <xf numFmtId="0" fontId="76" fillId="34" borderId="41" xfId="0" applyFont="1" applyFill="1" applyBorder="1" applyAlignment="1">
      <alignment horizontal="center" vertical="center"/>
    </xf>
    <xf numFmtId="0" fontId="77" fillId="34" borderId="42" xfId="0" applyFont="1" applyFill="1" applyBorder="1" applyAlignment="1">
      <alignment horizontal="center"/>
    </xf>
    <xf numFmtId="164" fontId="69" fillId="34" borderId="43" xfId="0" applyNumberFormat="1" applyFont="1" applyFill="1" applyBorder="1" applyAlignment="1">
      <alignment/>
    </xf>
    <xf numFmtId="164" fontId="70" fillId="34" borderId="44" xfId="0" applyNumberFormat="1" applyFont="1" applyFill="1" applyBorder="1" applyAlignment="1">
      <alignment/>
    </xf>
    <xf numFmtId="164" fontId="71" fillId="0" borderId="19" xfId="0" applyNumberFormat="1" applyFont="1" applyFill="1" applyBorder="1" applyAlignment="1">
      <alignment vertical="center"/>
    </xf>
    <xf numFmtId="164" fontId="71" fillId="0" borderId="23" xfId="0" applyNumberFormat="1" applyFont="1" applyFill="1" applyBorder="1" applyAlignment="1">
      <alignment vertical="center"/>
    </xf>
    <xf numFmtId="164" fontId="71" fillId="0" borderId="25" xfId="0" applyNumberFormat="1" applyFont="1" applyFill="1" applyBorder="1" applyAlignment="1">
      <alignment vertical="center"/>
    </xf>
    <xf numFmtId="164" fontId="71" fillId="10" borderId="19" xfId="0" applyNumberFormat="1" applyFont="1" applyFill="1" applyBorder="1" applyAlignment="1">
      <alignment vertical="center"/>
    </xf>
    <xf numFmtId="164" fontId="71" fillId="10" borderId="23" xfId="0" applyNumberFormat="1" applyFont="1" applyFill="1" applyBorder="1" applyAlignment="1">
      <alignment vertical="center"/>
    </xf>
    <xf numFmtId="164" fontId="71" fillId="10" borderId="25" xfId="0" applyNumberFormat="1" applyFont="1" applyFill="1" applyBorder="1" applyAlignment="1">
      <alignment vertical="center"/>
    </xf>
    <xf numFmtId="164" fontId="71" fillId="16" borderId="45" xfId="0" applyNumberFormat="1" applyFont="1" applyFill="1" applyBorder="1" applyAlignment="1">
      <alignment vertical="center"/>
    </xf>
    <xf numFmtId="164" fontId="71" fillId="16" borderId="14" xfId="0" applyNumberFormat="1" applyFont="1" applyFill="1" applyBorder="1" applyAlignment="1">
      <alignment vertical="center"/>
    </xf>
    <xf numFmtId="164" fontId="71" fillId="16" borderId="46" xfId="0" applyNumberFormat="1" applyFont="1" applyFill="1" applyBorder="1" applyAlignment="1">
      <alignment vertical="center"/>
    </xf>
    <xf numFmtId="164" fontId="71" fillId="4" borderId="42" xfId="0" applyNumberFormat="1" applyFont="1" applyFill="1" applyBorder="1" applyAlignment="1">
      <alignment vertical="center"/>
    </xf>
    <xf numFmtId="164" fontId="71" fillId="4" borderId="34" xfId="0" applyNumberFormat="1" applyFont="1" applyFill="1" applyBorder="1" applyAlignment="1">
      <alignment vertical="center"/>
    </xf>
    <xf numFmtId="164" fontId="71" fillId="4" borderId="47" xfId="0" applyNumberFormat="1" applyFont="1" applyFill="1" applyBorder="1" applyAlignment="1">
      <alignment vertical="center"/>
    </xf>
    <xf numFmtId="164" fontId="78" fillId="4" borderId="42" xfId="0" applyNumberFormat="1" applyFont="1" applyFill="1" applyBorder="1" applyAlignment="1">
      <alignment horizontal="center" vertical="center" wrapText="1"/>
    </xf>
    <xf numFmtId="164" fontId="78" fillId="16" borderId="42" xfId="0" applyNumberFormat="1" applyFont="1" applyFill="1" applyBorder="1" applyAlignment="1">
      <alignment horizontal="center" vertical="center" wrapText="1"/>
    </xf>
    <xf numFmtId="0" fontId="68" fillId="10" borderId="14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79" fillId="10" borderId="14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/>
    </xf>
    <xf numFmtId="164" fontId="67" fillId="34" borderId="42" xfId="0" applyNumberFormat="1" applyFont="1" applyFill="1" applyBorder="1" applyAlignment="1">
      <alignment horizontal="center" vertical="center" wrapText="1"/>
    </xf>
    <xf numFmtId="164" fontId="69" fillId="34" borderId="45" xfId="0" applyNumberFormat="1" applyFont="1" applyFill="1" applyBorder="1" applyAlignment="1">
      <alignment vertical="center"/>
    </xf>
    <xf numFmtId="164" fontId="69" fillId="34" borderId="14" xfId="0" applyNumberFormat="1" applyFont="1" applyFill="1" applyBorder="1" applyAlignment="1">
      <alignment vertical="center"/>
    </xf>
    <xf numFmtId="164" fontId="69" fillId="34" borderId="46" xfId="0" applyNumberFormat="1" applyFont="1" applyFill="1" applyBorder="1" applyAlignment="1">
      <alignment vertical="center"/>
    </xf>
    <xf numFmtId="44" fontId="71" fillId="0" borderId="29" xfId="48" applyFont="1" applyBorder="1" applyAlignment="1">
      <alignment/>
    </xf>
    <xf numFmtId="46" fontId="80" fillId="0" borderId="22" xfId="0" applyNumberFormat="1" applyFont="1" applyBorder="1" applyAlignment="1">
      <alignment/>
    </xf>
    <xf numFmtId="0" fontId="71" fillId="10" borderId="19" xfId="0" applyFont="1" applyFill="1" applyBorder="1" applyAlignment="1">
      <alignment vertical="center"/>
    </xf>
    <xf numFmtId="46" fontId="71" fillId="0" borderId="22" xfId="0" applyNumberFormat="1" applyFont="1" applyBorder="1" applyAlignment="1">
      <alignment/>
    </xf>
    <xf numFmtId="46" fontId="71" fillId="0" borderId="46" xfId="0" applyNumberFormat="1" applyFont="1" applyBorder="1" applyAlignment="1">
      <alignment/>
    </xf>
    <xf numFmtId="0" fontId="66" fillId="10" borderId="19" xfId="0" applyFont="1" applyFill="1" applyBorder="1" applyAlignment="1">
      <alignment vertical="center"/>
    </xf>
    <xf numFmtId="46" fontId="66" fillId="0" borderId="22" xfId="0" applyNumberFormat="1" applyFont="1" applyBorder="1" applyAlignment="1">
      <alignment/>
    </xf>
    <xf numFmtId="44" fontId="81" fillId="0" borderId="28" xfId="48" applyFont="1" applyBorder="1" applyAlignment="1">
      <alignment/>
    </xf>
    <xf numFmtId="0" fontId="81" fillId="0" borderId="28" xfId="0" applyFont="1" applyBorder="1" applyAlignment="1">
      <alignment horizontal="center"/>
    </xf>
    <xf numFmtId="44" fontId="81" fillId="0" borderId="29" xfId="48" applyFont="1" applyBorder="1" applyAlignment="1">
      <alignment/>
    </xf>
    <xf numFmtId="44" fontId="82" fillId="33" borderId="14" xfId="48" applyFont="1" applyFill="1" applyBorder="1" applyAlignment="1">
      <alignment/>
    </xf>
    <xf numFmtId="0" fontId="71" fillId="0" borderId="28" xfId="0" applyFont="1" applyBorder="1" applyAlignment="1">
      <alignment horizontal="center"/>
    </xf>
    <xf numFmtId="0" fontId="71" fillId="10" borderId="20" xfId="0" applyFont="1" applyFill="1" applyBorder="1" applyAlignment="1">
      <alignment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wrapText="1"/>
    </xf>
    <xf numFmtId="44" fontId="82" fillId="34" borderId="14" xfId="0" applyNumberFormat="1" applyFont="1" applyFill="1" applyBorder="1" applyAlignment="1">
      <alignment/>
    </xf>
    <xf numFmtId="0" fontId="71" fillId="0" borderId="25" xfId="0" applyFont="1" applyBorder="1" applyAlignment="1">
      <alignment/>
    </xf>
    <xf numFmtId="0" fontId="71" fillId="0" borderId="28" xfId="0" applyFont="1" applyBorder="1" applyAlignment="1">
      <alignment horizontal="center" wrapText="1"/>
    </xf>
    <xf numFmtId="44" fontId="66" fillId="0" borderId="28" xfId="48" applyFont="1" applyBorder="1" applyAlignment="1">
      <alignment/>
    </xf>
    <xf numFmtId="0" fontId="66" fillId="0" borderId="28" xfId="0" applyFont="1" applyBorder="1" applyAlignment="1">
      <alignment horizontal="center"/>
    </xf>
    <xf numFmtId="0" fontId="66" fillId="0" borderId="28" xfId="0" applyFont="1" applyBorder="1" applyAlignment="1">
      <alignment horizontal="center" wrapText="1"/>
    </xf>
    <xf numFmtId="44" fontId="66" fillId="0" borderId="29" xfId="48" applyFont="1" applyBorder="1" applyAlignment="1">
      <alignment/>
    </xf>
    <xf numFmtId="0" fontId="66" fillId="0" borderId="29" xfId="0" applyFont="1" applyBorder="1" applyAlignment="1">
      <alignment horizontal="center"/>
    </xf>
    <xf numFmtId="44" fontId="70" fillId="33" borderId="14" xfId="48" applyFont="1" applyFill="1" applyBorder="1" applyAlignment="1">
      <alignment/>
    </xf>
    <xf numFmtId="0" fontId="81" fillId="10" borderId="20" xfId="0" applyFont="1" applyFill="1" applyBorder="1" applyAlignment="1">
      <alignment/>
    </xf>
    <xf numFmtId="44" fontId="81" fillId="0" borderId="27" xfId="48" applyFont="1" applyBorder="1" applyAlignment="1">
      <alignment/>
    </xf>
    <xf numFmtId="0" fontId="81" fillId="0" borderId="29" xfId="0" applyFont="1" applyBorder="1" applyAlignment="1">
      <alignment horizontal="center"/>
    </xf>
    <xf numFmtId="0" fontId="71" fillId="0" borderId="29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71" fillId="0" borderId="26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3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3" xfId="0" applyFont="1" applyBorder="1" applyAlignment="1">
      <alignment/>
    </xf>
    <xf numFmtId="0" fontId="85" fillId="10" borderId="20" xfId="0" applyFont="1" applyFill="1" applyBorder="1" applyAlignment="1">
      <alignment/>
    </xf>
    <xf numFmtId="44" fontId="85" fillId="0" borderId="28" xfId="48" applyFont="1" applyBorder="1" applyAlignment="1">
      <alignment/>
    </xf>
    <xf numFmtId="0" fontId="85" fillId="0" borderId="28" xfId="0" applyFont="1" applyBorder="1" applyAlignment="1">
      <alignment/>
    </xf>
    <xf numFmtId="44" fontId="85" fillId="0" borderId="27" xfId="48" applyFont="1" applyBorder="1" applyAlignment="1">
      <alignment/>
    </xf>
    <xf numFmtId="0" fontId="85" fillId="0" borderId="28" xfId="0" applyFont="1" applyBorder="1" applyAlignment="1">
      <alignment horizontal="center"/>
    </xf>
    <xf numFmtId="44" fontId="87" fillId="33" borderId="14" xfId="48" applyFont="1" applyFill="1" applyBorder="1" applyAlignment="1">
      <alignment/>
    </xf>
    <xf numFmtId="0" fontId="85" fillId="0" borderId="28" xfId="0" applyFont="1" applyBorder="1" applyAlignment="1">
      <alignment wrapText="1"/>
    </xf>
    <xf numFmtId="0" fontId="85" fillId="0" borderId="28" xfId="0" applyFont="1" applyBorder="1" applyAlignment="1">
      <alignment horizontal="center" wrapText="1"/>
    </xf>
    <xf numFmtId="0" fontId="80" fillId="0" borderId="23" xfId="0" applyFont="1" applyBorder="1" applyAlignment="1">
      <alignment/>
    </xf>
    <xf numFmtId="0" fontId="80" fillId="10" borderId="19" xfId="0" applyFont="1" applyFill="1" applyBorder="1" applyAlignment="1">
      <alignment vertical="center" wrapText="1"/>
    </xf>
    <xf numFmtId="46" fontId="80" fillId="0" borderId="22" xfId="0" applyNumberFormat="1" applyFont="1" applyBorder="1" applyAlignment="1">
      <alignment wrapText="1"/>
    </xf>
    <xf numFmtId="0" fontId="71" fillId="0" borderId="23" xfId="0" applyFont="1" applyBorder="1" applyAlignment="1">
      <alignment/>
    </xf>
    <xf numFmtId="44" fontId="85" fillId="0" borderId="29" xfId="48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3" xfId="0" applyFont="1" applyBorder="1" applyAlignment="1">
      <alignment/>
    </xf>
    <xf numFmtId="0" fontId="66" fillId="0" borderId="25" xfId="0" applyFont="1" applyBorder="1" applyAlignment="1">
      <alignment/>
    </xf>
    <xf numFmtId="0" fontId="81" fillId="10" borderId="19" xfId="0" applyFont="1" applyFill="1" applyBorder="1" applyAlignment="1">
      <alignment vertical="center"/>
    </xf>
    <xf numFmtId="0" fontId="81" fillId="0" borderId="23" xfId="0" applyFont="1" applyBorder="1" applyAlignment="1">
      <alignment/>
    </xf>
    <xf numFmtId="0" fontId="81" fillId="0" borderId="25" xfId="0" applyFont="1" applyBorder="1" applyAlignment="1">
      <alignment/>
    </xf>
    <xf numFmtId="0" fontId="80" fillId="0" borderId="18" xfId="0" applyFont="1" applyBorder="1" applyAlignment="1">
      <alignment horizontal="center" wrapText="1"/>
    </xf>
    <xf numFmtId="0" fontId="80" fillId="0" borderId="21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1" fillId="10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66" fillId="0" borderId="28" xfId="0" applyFont="1" applyBorder="1" applyAlignment="1">
      <alignment horizontal="center" vertical="center" wrapText="1"/>
    </xf>
    <xf numFmtId="46" fontId="66" fillId="0" borderId="22" xfId="0" applyNumberFormat="1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0" fontId="66" fillId="10" borderId="19" xfId="0" applyFont="1" applyFill="1" applyBorder="1" applyAlignment="1">
      <alignment vertical="center" wrapText="1"/>
    </xf>
    <xf numFmtId="0" fontId="85" fillId="10" borderId="19" xfId="0" applyFont="1" applyFill="1" applyBorder="1" applyAlignment="1">
      <alignment vertical="center"/>
    </xf>
    <xf numFmtId="46" fontId="85" fillId="0" borderId="22" xfId="0" applyNumberFormat="1" applyFont="1" applyBorder="1" applyAlignment="1">
      <alignment/>
    </xf>
    <xf numFmtId="0" fontId="85" fillId="0" borderId="23" xfId="0" applyFont="1" applyBorder="1" applyAlignment="1">
      <alignment/>
    </xf>
    <xf numFmtId="0" fontId="85" fillId="0" borderId="25" xfId="0" applyFont="1" applyBorder="1" applyAlignment="1">
      <alignment/>
    </xf>
    <xf numFmtId="0" fontId="66" fillId="0" borderId="48" xfId="0" applyFont="1" applyBorder="1" applyAlignment="1">
      <alignment horizontal="left" vertical="top" wrapText="1"/>
    </xf>
    <xf numFmtId="0" fontId="66" fillId="0" borderId="49" xfId="0" applyFont="1" applyBorder="1" applyAlignment="1">
      <alignment horizontal="left" vertical="top" wrapText="1"/>
    </xf>
    <xf numFmtId="0" fontId="66" fillId="0" borderId="50" xfId="0" applyFont="1" applyBorder="1" applyAlignment="1">
      <alignment horizontal="center"/>
    </xf>
    <xf numFmtId="0" fontId="80" fillId="0" borderId="36" xfId="0" applyFont="1" applyBorder="1" applyAlignment="1">
      <alignment horizontal="left" vertical="top" wrapText="1"/>
    </xf>
    <xf numFmtId="0" fontId="80" fillId="0" borderId="51" xfId="0" applyFont="1" applyBorder="1" applyAlignment="1">
      <alignment horizontal="left" vertical="top" wrapText="1"/>
    </xf>
    <xf numFmtId="0" fontId="80" fillId="0" borderId="44" xfId="0" applyFont="1" applyBorder="1" applyAlignment="1">
      <alignment horizontal="left" vertical="top" wrapText="1"/>
    </xf>
    <xf numFmtId="0" fontId="66" fillId="0" borderId="36" xfId="0" applyFont="1" applyBorder="1" applyAlignment="1">
      <alignment horizontal="left" vertical="top" wrapText="1"/>
    </xf>
    <xf numFmtId="0" fontId="66" fillId="0" borderId="51" xfId="0" applyFont="1" applyBorder="1" applyAlignment="1">
      <alignment horizontal="left" vertical="top" wrapText="1"/>
    </xf>
    <xf numFmtId="0" fontId="66" fillId="0" borderId="44" xfId="0" applyFont="1" applyBorder="1" applyAlignment="1">
      <alignment horizontal="left" vertical="top" wrapText="1"/>
    </xf>
    <xf numFmtId="0" fontId="89" fillId="0" borderId="0" xfId="0" applyFont="1" applyAlignment="1">
      <alignment horizontal="center"/>
    </xf>
    <xf numFmtId="0" fontId="90" fillId="33" borderId="1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0" fillId="33" borderId="53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/>
    </xf>
    <xf numFmtId="0" fontId="67" fillId="33" borderId="55" xfId="0" applyFont="1" applyFill="1" applyBorder="1" applyAlignment="1">
      <alignment horizontal="center"/>
    </xf>
    <xf numFmtId="0" fontId="71" fillId="0" borderId="41" xfId="0" applyFont="1" applyBorder="1" applyAlignment="1">
      <alignment vertical="top" wrapText="1"/>
    </xf>
    <xf numFmtId="0" fontId="71" fillId="0" borderId="56" xfId="0" applyFont="1" applyBorder="1" applyAlignment="1">
      <alignment vertical="top"/>
    </xf>
    <xf numFmtId="0" fontId="71" fillId="0" borderId="42" xfId="0" applyFont="1" applyBorder="1" applyAlignment="1">
      <alignment vertical="top"/>
    </xf>
    <xf numFmtId="0" fontId="91" fillId="0" borderId="35" xfId="0" applyFont="1" applyBorder="1" applyAlignment="1">
      <alignment horizontal="left" vertical="top" wrapText="1"/>
    </xf>
    <xf numFmtId="0" fontId="91" fillId="0" borderId="57" xfId="0" applyFont="1" applyBorder="1" applyAlignment="1">
      <alignment horizontal="left" vertical="top" wrapText="1"/>
    </xf>
    <xf numFmtId="0" fontId="91" fillId="0" borderId="43" xfId="0" applyFont="1" applyBorder="1" applyAlignment="1">
      <alignment horizontal="left" vertical="top" wrapText="1"/>
    </xf>
    <xf numFmtId="0" fontId="66" fillId="10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66" fillId="0" borderId="52" xfId="0" applyFont="1" applyBorder="1" applyAlignment="1">
      <alignment wrapText="1"/>
    </xf>
    <xf numFmtId="0" fontId="66" fillId="0" borderId="53" xfId="0" applyFont="1" applyBorder="1" applyAlignment="1">
      <alignment wrapText="1"/>
    </xf>
    <xf numFmtId="0" fontId="66" fillId="0" borderId="41" xfId="0" applyFont="1" applyBorder="1" applyAlignment="1">
      <alignment vertical="top" wrapText="1"/>
    </xf>
    <xf numFmtId="0" fontId="66" fillId="0" borderId="56" xfId="0" applyFont="1" applyBorder="1" applyAlignment="1">
      <alignment vertical="top"/>
    </xf>
    <xf numFmtId="0" fontId="66" fillId="0" borderId="42" xfId="0" applyFont="1" applyBorder="1" applyAlignment="1">
      <alignment vertical="top"/>
    </xf>
    <xf numFmtId="0" fontId="66" fillId="0" borderId="35" xfId="0" applyFont="1" applyBorder="1" applyAlignment="1">
      <alignment horizontal="left" vertical="top" wrapText="1"/>
    </xf>
    <xf numFmtId="0" fontId="66" fillId="0" borderId="57" xfId="0" applyFont="1" applyBorder="1" applyAlignment="1">
      <alignment horizontal="left" vertical="top" wrapText="1"/>
    </xf>
    <xf numFmtId="0" fontId="66" fillId="0" borderId="43" xfId="0" applyFont="1" applyBorder="1" applyAlignment="1">
      <alignment horizontal="left" vertical="top" wrapText="1"/>
    </xf>
    <xf numFmtId="0" fontId="80" fillId="0" borderId="58" xfId="0" applyFont="1" applyBorder="1" applyAlignment="1">
      <alignment horizontal="left" vertical="top" wrapText="1"/>
    </xf>
    <xf numFmtId="0" fontId="80" fillId="0" borderId="33" xfId="0" applyFont="1" applyBorder="1" applyAlignment="1">
      <alignment horizontal="left" vertical="top" wrapText="1"/>
    </xf>
    <xf numFmtId="0" fontId="80" fillId="0" borderId="34" xfId="0" applyFont="1" applyBorder="1" applyAlignment="1">
      <alignment horizontal="left" vertical="top" wrapText="1"/>
    </xf>
    <xf numFmtId="0" fontId="83" fillId="0" borderId="51" xfId="0" applyFont="1" applyBorder="1" applyAlignment="1">
      <alignment horizontal="left" vertical="top"/>
    </xf>
    <xf numFmtId="0" fontId="83" fillId="0" borderId="44" xfId="0" applyFont="1" applyBorder="1" applyAlignment="1">
      <alignment horizontal="left" vertical="top"/>
    </xf>
    <xf numFmtId="0" fontId="80" fillId="0" borderId="41" xfId="0" applyFont="1" applyBorder="1" applyAlignment="1">
      <alignment vertical="top" wrapText="1"/>
    </xf>
    <xf numFmtId="0" fontId="80" fillId="0" borderId="56" xfId="0" applyFont="1" applyBorder="1" applyAlignment="1">
      <alignment vertical="top"/>
    </xf>
    <xf numFmtId="0" fontId="80" fillId="0" borderId="42" xfId="0" applyFont="1" applyBorder="1" applyAlignment="1">
      <alignment vertical="top"/>
    </xf>
    <xf numFmtId="0" fontId="2" fillId="0" borderId="35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68" fillId="0" borderId="36" xfId="0" applyFont="1" applyBorder="1" applyAlignment="1">
      <alignment horizontal="left" vertical="top" wrapText="1"/>
    </xf>
    <xf numFmtId="0" fontId="68" fillId="0" borderId="51" xfId="0" applyFont="1" applyBorder="1" applyAlignment="1">
      <alignment horizontal="left" vertical="top" wrapText="1"/>
    </xf>
    <xf numFmtId="0" fontId="68" fillId="0" borderId="44" xfId="0" applyFont="1" applyBorder="1" applyAlignment="1">
      <alignment horizontal="left" vertical="top" wrapText="1"/>
    </xf>
    <xf numFmtId="0" fontId="68" fillId="0" borderId="51" xfId="0" applyFont="1" applyBorder="1" applyAlignment="1">
      <alignment horizontal="left" vertical="top"/>
    </xf>
    <xf numFmtId="0" fontId="68" fillId="0" borderId="44" xfId="0" applyFont="1" applyBorder="1" applyAlignment="1">
      <alignment horizontal="left" vertical="top"/>
    </xf>
    <xf numFmtId="0" fontId="68" fillId="0" borderId="35" xfId="0" applyFont="1" applyBorder="1" applyAlignment="1">
      <alignment horizontal="left" vertical="top" wrapText="1"/>
    </xf>
    <xf numFmtId="0" fontId="68" fillId="0" borderId="57" xfId="0" applyFont="1" applyBorder="1" applyAlignment="1">
      <alignment horizontal="left" vertical="top" wrapText="1"/>
    </xf>
    <xf numFmtId="0" fontId="68" fillId="0" borderId="43" xfId="0" applyFont="1" applyBorder="1" applyAlignment="1">
      <alignment horizontal="left" vertical="top" wrapText="1"/>
    </xf>
    <xf numFmtId="0" fontId="68" fillId="0" borderId="58" xfId="0" applyFont="1" applyBorder="1" applyAlignment="1">
      <alignment horizontal="left" vertical="top" wrapText="1"/>
    </xf>
    <xf numFmtId="0" fontId="68" fillId="0" borderId="33" xfId="0" applyFont="1" applyBorder="1" applyAlignment="1">
      <alignment horizontal="left" vertical="top"/>
    </xf>
    <xf numFmtId="0" fontId="68" fillId="0" borderId="34" xfId="0" applyFont="1" applyBorder="1" applyAlignment="1">
      <alignment horizontal="left" vertical="top"/>
    </xf>
    <xf numFmtId="0" fontId="68" fillId="0" borderId="33" xfId="0" applyFont="1" applyBorder="1" applyAlignment="1">
      <alignment horizontal="left" vertical="top" wrapText="1"/>
    </xf>
    <xf numFmtId="0" fontId="68" fillId="0" borderId="34" xfId="0" applyFont="1" applyBorder="1" applyAlignment="1">
      <alignment horizontal="left" vertical="top" wrapText="1"/>
    </xf>
    <xf numFmtId="0" fontId="71" fillId="0" borderId="35" xfId="0" applyFont="1" applyBorder="1" applyAlignment="1">
      <alignment horizontal="left" vertical="top" wrapText="1"/>
    </xf>
    <xf numFmtId="0" fontId="71" fillId="0" borderId="57" xfId="0" applyFont="1" applyBorder="1" applyAlignment="1">
      <alignment horizontal="left" vertical="top" wrapText="1"/>
    </xf>
    <xf numFmtId="0" fontId="71" fillId="0" borderId="43" xfId="0" applyFont="1" applyBorder="1" applyAlignment="1">
      <alignment horizontal="left" vertical="top" wrapText="1"/>
    </xf>
    <xf numFmtId="0" fontId="68" fillId="0" borderId="58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center" vertical="top" wrapText="1"/>
    </xf>
    <xf numFmtId="0" fontId="68" fillId="0" borderId="34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left" vertical="top" wrapText="1"/>
    </xf>
    <xf numFmtId="0" fontId="71" fillId="0" borderId="51" xfId="0" applyFont="1" applyBorder="1" applyAlignment="1">
      <alignment horizontal="left" vertical="top" wrapText="1"/>
    </xf>
    <xf numFmtId="0" fontId="71" fillId="0" borderId="44" xfId="0" applyFont="1" applyBorder="1" applyAlignment="1">
      <alignment horizontal="left" vertical="top" wrapText="1"/>
    </xf>
    <xf numFmtId="0" fontId="80" fillId="0" borderId="35" xfId="0" applyFont="1" applyBorder="1" applyAlignment="1">
      <alignment horizontal="left" vertical="top" wrapText="1"/>
    </xf>
    <xf numFmtId="0" fontId="80" fillId="0" borderId="57" xfId="0" applyFont="1" applyBorder="1" applyAlignment="1">
      <alignment horizontal="left" vertical="top" wrapText="1"/>
    </xf>
    <xf numFmtId="0" fontId="80" fillId="0" borderId="43" xfId="0" applyFont="1" applyBorder="1" applyAlignment="1">
      <alignment horizontal="left" vertical="top" wrapText="1"/>
    </xf>
    <xf numFmtId="0" fontId="86" fillId="10" borderId="52" xfId="0" applyFont="1" applyFill="1" applyBorder="1" applyAlignment="1">
      <alignment wrapText="1"/>
    </xf>
    <xf numFmtId="0" fontId="92" fillId="0" borderId="52" xfId="0" applyFont="1" applyBorder="1" applyAlignment="1">
      <alignment wrapText="1"/>
    </xf>
    <xf numFmtId="0" fontId="92" fillId="0" borderId="53" xfId="0" applyFont="1" applyBorder="1" applyAlignment="1">
      <alignment wrapText="1"/>
    </xf>
    <xf numFmtId="0" fontId="86" fillId="0" borderId="52" xfId="0" applyFont="1" applyBorder="1" applyAlignment="1">
      <alignment wrapText="1"/>
    </xf>
    <xf numFmtId="0" fontId="86" fillId="0" borderId="53" xfId="0" applyFont="1" applyBorder="1" applyAlignment="1">
      <alignment wrapText="1"/>
    </xf>
    <xf numFmtId="0" fontId="85" fillId="10" borderId="52" xfId="0" applyFont="1" applyFill="1" applyBorder="1" applyAlignment="1">
      <alignment wrapText="1"/>
    </xf>
    <xf numFmtId="0" fontId="93" fillId="0" borderId="52" xfId="0" applyFont="1" applyBorder="1" applyAlignment="1">
      <alignment wrapText="1"/>
    </xf>
    <xf numFmtId="0" fontId="93" fillId="0" borderId="53" xfId="0" applyFont="1" applyBorder="1" applyAlignment="1">
      <alignment wrapText="1"/>
    </xf>
    <xf numFmtId="0" fontId="85" fillId="0" borderId="52" xfId="0" applyFont="1" applyBorder="1" applyAlignment="1">
      <alignment wrapText="1"/>
    </xf>
    <xf numFmtId="0" fontId="85" fillId="0" borderId="53" xfId="0" applyFont="1" applyBorder="1" applyAlignment="1">
      <alignment wrapText="1"/>
    </xf>
    <xf numFmtId="0" fontId="85" fillId="0" borderId="41" xfId="0" applyFont="1" applyBorder="1" applyAlignment="1">
      <alignment vertical="top" wrapText="1"/>
    </xf>
    <xf numFmtId="0" fontId="85" fillId="0" borderId="56" xfId="0" applyFont="1" applyBorder="1" applyAlignment="1">
      <alignment vertical="top"/>
    </xf>
    <xf numFmtId="0" fontId="85" fillId="0" borderId="42" xfId="0" applyFont="1" applyBorder="1" applyAlignment="1">
      <alignment vertical="top"/>
    </xf>
    <xf numFmtId="0" fontId="90" fillId="33" borderId="10" xfId="0" applyFont="1" applyFill="1" applyBorder="1" applyAlignment="1">
      <alignment horizontal="left" vertical="center" wrapText="1"/>
    </xf>
    <xf numFmtId="0" fontId="90" fillId="33" borderId="52" xfId="0" applyFont="1" applyFill="1" applyBorder="1" applyAlignment="1">
      <alignment horizontal="left" vertical="center" wrapText="1"/>
    </xf>
    <xf numFmtId="0" fontId="90" fillId="33" borderId="53" xfId="0" applyFont="1" applyFill="1" applyBorder="1" applyAlignment="1">
      <alignment horizontal="left" vertical="center" wrapText="1"/>
    </xf>
    <xf numFmtId="0" fontId="88" fillId="10" borderId="52" xfId="0" applyFont="1" applyFill="1" applyBorder="1" applyAlignment="1">
      <alignment wrapText="1"/>
    </xf>
    <xf numFmtId="0" fontId="94" fillId="0" borderId="52" xfId="0" applyFont="1" applyBorder="1" applyAlignment="1">
      <alignment wrapText="1"/>
    </xf>
    <xf numFmtId="0" fontId="94" fillId="0" borderId="53" xfId="0" applyFont="1" applyBorder="1" applyAlignment="1">
      <alignment wrapText="1"/>
    </xf>
    <xf numFmtId="0" fontId="88" fillId="0" borderId="52" xfId="0" applyFont="1" applyBorder="1" applyAlignment="1">
      <alignment wrapText="1"/>
    </xf>
    <xf numFmtId="0" fontId="88" fillId="0" borderId="53" xfId="0" applyFont="1" applyBorder="1" applyAlignment="1">
      <alignment wrapText="1"/>
    </xf>
    <xf numFmtId="0" fontId="81" fillId="0" borderId="36" xfId="0" applyFont="1" applyBorder="1" applyAlignment="1">
      <alignment horizontal="left" vertical="top" wrapText="1"/>
    </xf>
    <xf numFmtId="0" fontId="84" fillId="0" borderId="51" xfId="0" applyFont="1" applyBorder="1" applyAlignment="1">
      <alignment horizontal="left" vertical="top" wrapText="1"/>
    </xf>
    <xf numFmtId="0" fontId="84" fillId="0" borderId="44" xfId="0" applyFont="1" applyBorder="1" applyAlignment="1">
      <alignment horizontal="left" vertical="top" wrapText="1"/>
    </xf>
    <xf numFmtId="0" fontId="90" fillId="33" borderId="10" xfId="0" applyFont="1" applyFill="1" applyBorder="1" applyAlignment="1">
      <alignment horizontal="center" vertical="center" wrapText="1"/>
    </xf>
    <xf numFmtId="0" fontId="90" fillId="33" borderId="52" xfId="0" applyFont="1" applyFill="1" applyBorder="1" applyAlignment="1">
      <alignment horizontal="center" vertical="center" wrapText="1"/>
    </xf>
    <xf numFmtId="0" fontId="90" fillId="33" borderId="53" xfId="0" applyFont="1" applyFill="1" applyBorder="1" applyAlignment="1">
      <alignment horizontal="center" vertical="center" wrapText="1"/>
    </xf>
    <xf numFmtId="0" fontId="80" fillId="10" borderId="58" xfId="0" applyFont="1" applyFill="1" applyBorder="1" applyAlignment="1">
      <alignment horizontal="center" vertical="center" wrapText="1"/>
    </xf>
    <xf numFmtId="0" fontId="80" fillId="10" borderId="33" xfId="0" applyFont="1" applyFill="1" applyBorder="1" applyAlignment="1">
      <alignment horizontal="center" vertical="center" wrapText="1"/>
    </xf>
    <xf numFmtId="0" fontId="80" fillId="10" borderId="34" xfId="0" applyFont="1" applyFill="1" applyBorder="1" applyAlignment="1">
      <alignment horizontal="center" vertical="center" wrapText="1"/>
    </xf>
    <xf numFmtId="0" fontId="77" fillId="34" borderId="58" xfId="0" applyFont="1" applyFill="1" applyBorder="1" applyAlignment="1">
      <alignment horizontal="center" vertical="center"/>
    </xf>
    <xf numFmtId="0" fontId="77" fillId="34" borderId="33" xfId="0" applyFont="1" applyFill="1" applyBorder="1" applyAlignment="1">
      <alignment horizontal="center" vertical="center"/>
    </xf>
    <xf numFmtId="0" fontId="77" fillId="34" borderId="34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80" fillId="0" borderId="54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80" fillId="10" borderId="54" xfId="0" applyFont="1" applyFill="1" applyBorder="1" applyAlignment="1">
      <alignment horizontal="center" vertical="center" wrapText="1"/>
    </xf>
    <xf numFmtId="0" fontId="80" fillId="10" borderId="59" xfId="0" applyFont="1" applyFill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96" fillId="0" borderId="32" xfId="0" applyFont="1" applyBorder="1" applyAlignment="1">
      <alignment horizontal="left" vertical="center" wrapText="1"/>
    </xf>
    <xf numFmtId="0" fontId="96" fillId="0" borderId="33" xfId="0" applyFont="1" applyBorder="1" applyAlignment="1">
      <alignment horizontal="left" vertical="center" wrapText="1"/>
    </xf>
    <xf numFmtId="0" fontId="96" fillId="0" borderId="34" xfId="0" applyFont="1" applyBorder="1" applyAlignment="1">
      <alignment horizontal="left" vertical="center" wrapText="1"/>
    </xf>
    <xf numFmtId="0" fontId="75" fillId="0" borderId="32" xfId="0" applyFont="1" applyBorder="1" applyAlignment="1">
      <alignment horizontal="left" vertical="top" wrapText="1"/>
    </xf>
    <xf numFmtId="0" fontId="75" fillId="0" borderId="33" xfId="0" applyFont="1" applyBorder="1" applyAlignment="1">
      <alignment horizontal="left" vertical="top" wrapText="1"/>
    </xf>
    <xf numFmtId="0" fontId="75" fillId="0" borderId="34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showGridLines="0" zoomScale="70" zoomScaleNormal="70" zoomScalePageLayoutView="0" workbookViewId="0" topLeftCell="A1">
      <selection activeCell="L44" sqref="A1:L44"/>
    </sheetView>
  </sheetViews>
  <sheetFormatPr defaultColWidth="11.421875" defaultRowHeight="15"/>
  <cols>
    <col min="1" max="1" width="3.57421875" style="0" customWidth="1"/>
    <col min="2" max="2" width="45.421875" style="0" customWidth="1"/>
    <col min="3" max="3" width="31.140625" style="0" customWidth="1"/>
    <col min="4" max="4" width="46.421875" style="0" customWidth="1"/>
    <col min="5" max="5" width="11.57421875" style="0" customWidth="1"/>
    <col min="6" max="6" width="36.7109375" style="0" customWidth="1"/>
    <col min="7" max="7" width="27.421875" style="0" customWidth="1"/>
    <col min="8" max="8" width="37.8515625" style="0" customWidth="1"/>
    <col min="9" max="10" width="33.57421875" style="0" customWidth="1"/>
    <col min="11" max="11" width="38.28125" style="0" customWidth="1"/>
    <col min="12" max="12" width="4.421875" style="0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64.5" customHeight="1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2:11" ht="59.25" customHeight="1">
      <c r="B6" s="1" t="s">
        <v>13</v>
      </c>
      <c r="C6" s="187" t="s">
        <v>14</v>
      </c>
      <c r="D6" s="188"/>
      <c r="E6" s="188"/>
      <c r="F6" s="188"/>
      <c r="G6" s="188"/>
      <c r="H6" s="188"/>
      <c r="I6" s="188"/>
      <c r="J6" s="188"/>
      <c r="K6" s="189"/>
    </row>
    <row r="7" spans="2:11" ht="59.25" customHeight="1">
      <c r="B7" s="2" t="s">
        <v>2</v>
      </c>
      <c r="C7" s="190" t="s">
        <v>15</v>
      </c>
      <c r="D7" s="188"/>
      <c r="E7" s="188"/>
      <c r="F7" s="188"/>
      <c r="G7" s="188"/>
      <c r="H7" s="188"/>
      <c r="I7" s="188"/>
      <c r="J7" s="188"/>
      <c r="K7" s="189"/>
    </row>
    <row r="8" spans="2:11" ht="59.25" customHeight="1">
      <c r="B8" s="2" t="s">
        <v>3</v>
      </c>
      <c r="C8" s="190" t="s">
        <v>16</v>
      </c>
      <c r="D8" s="190"/>
      <c r="E8" s="190"/>
      <c r="F8" s="190"/>
      <c r="G8" s="190"/>
      <c r="H8" s="190"/>
      <c r="I8" s="190"/>
      <c r="J8" s="190"/>
      <c r="K8" s="191"/>
    </row>
    <row r="9" spans="2:11" ht="59.25" customHeight="1" thickBot="1">
      <c r="B9" s="3" t="s">
        <v>4</v>
      </c>
      <c r="C9" s="4" t="s">
        <v>16</v>
      </c>
      <c r="D9" s="4"/>
      <c r="E9" s="4"/>
      <c r="F9" s="4"/>
      <c r="G9" s="4"/>
      <c r="H9" s="4"/>
      <c r="I9" s="4"/>
      <c r="J9" s="4"/>
      <c r="K9" s="5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52.5" customHeight="1">
      <c r="B11" s="181" t="s">
        <v>17</v>
      </c>
      <c r="C11" s="184" t="s">
        <v>212</v>
      </c>
      <c r="D11" s="172" t="s">
        <v>109</v>
      </c>
      <c r="E11" s="11" t="s">
        <v>11</v>
      </c>
      <c r="F11" s="99" t="s">
        <v>110</v>
      </c>
      <c r="G11" s="184" t="s">
        <v>214</v>
      </c>
      <c r="H11" s="109"/>
      <c r="I11" s="109"/>
      <c r="J11" s="109"/>
      <c r="K11" s="109"/>
    </row>
    <row r="12" spans="2:11" ht="42.75" customHeight="1">
      <c r="B12" s="182"/>
      <c r="C12" s="185"/>
      <c r="D12" s="173"/>
      <c r="E12" s="14">
        <v>2010</v>
      </c>
      <c r="F12" s="100" t="s">
        <v>154</v>
      </c>
      <c r="G12" s="185"/>
      <c r="H12" s="31">
        <f>3*1500000*1.61*12*0.75</f>
        <v>65205000</v>
      </c>
      <c r="I12" s="31">
        <v>0</v>
      </c>
      <c r="J12" s="31">
        <v>0</v>
      </c>
      <c r="K12" s="108" t="s">
        <v>80</v>
      </c>
    </row>
    <row r="13" spans="2:11" ht="42.75" customHeight="1">
      <c r="B13" s="182"/>
      <c r="C13" s="185"/>
      <c r="D13" s="173"/>
      <c r="E13" s="14">
        <v>2011</v>
      </c>
      <c r="F13" s="100" t="s">
        <v>111</v>
      </c>
      <c r="G13" s="185"/>
      <c r="H13" s="31">
        <f>3*1500000*1.61*12*0.75</f>
        <v>65205000</v>
      </c>
      <c r="I13" s="31">
        <v>0</v>
      </c>
      <c r="J13" s="31">
        <v>0</v>
      </c>
      <c r="K13" s="108" t="s">
        <v>80</v>
      </c>
    </row>
    <row r="14" spans="2:11" ht="42.75" customHeight="1">
      <c r="B14" s="182"/>
      <c r="C14" s="185"/>
      <c r="D14" s="173"/>
      <c r="E14" s="14">
        <v>2012</v>
      </c>
      <c r="F14" s="100" t="s">
        <v>112</v>
      </c>
      <c r="G14" s="185"/>
      <c r="H14" s="31">
        <f>2*1500000*1.61*12/0.75</f>
        <v>77280000</v>
      </c>
      <c r="I14" s="31">
        <v>0</v>
      </c>
      <c r="J14" s="31">
        <v>0</v>
      </c>
      <c r="K14" s="108" t="s">
        <v>80</v>
      </c>
    </row>
    <row r="15" spans="2:11" ht="42.75" customHeight="1">
      <c r="B15" s="182"/>
      <c r="C15" s="185"/>
      <c r="D15" s="173"/>
      <c r="E15" s="14">
        <v>2013</v>
      </c>
      <c r="F15" s="100" t="s">
        <v>113</v>
      </c>
      <c r="G15" s="185"/>
      <c r="H15" s="31">
        <f>2*1500000*1.61*12/0.75</f>
        <v>77280000</v>
      </c>
      <c r="I15" s="31">
        <v>0</v>
      </c>
      <c r="J15" s="31">
        <v>0</v>
      </c>
      <c r="K15" s="108" t="s">
        <v>80</v>
      </c>
    </row>
    <row r="16" spans="2:11" ht="42.75" customHeight="1" thickBot="1">
      <c r="B16" s="183"/>
      <c r="C16" s="186"/>
      <c r="D16" s="174"/>
      <c r="E16" s="17">
        <v>2014</v>
      </c>
      <c r="F16" s="101" t="s">
        <v>113</v>
      </c>
      <c r="G16" s="186"/>
      <c r="H16" s="97">
        <f>1.5*1500000*1.61*12/0.75</f>
        <v>57960000</v>
      </c>
      <c r="I16" s="31">
        <v>0</v>
      </c>
      <c r="J16" s="31">
        <v>0</v>
      </c>
      <c r="K16" s="108" t="s">
        <v>80</v>
      </c>
    </row>
    <row r="17" spans="2:11" ht="42.75" customHeight="1" thickBot="1">
      <c r="B17" s="19"/>
      <c r="C17" s="20"/>
      <c r="D17" s="20"/>
      <c r="E17" s="21"/>
      <c r="F17" s="21"/>
      <c r="G17" s="20"/>
      <c r="H17" s="24">
        <f>SUM(H11:H16)</f>
        <v>342930000</v>
      </c>
      <c r="I17" s="24">
        <f>SUM(I11:I16)</f>
        <v>0</v>
      </c>
      <c r="J17" s="24">
        <f>SUM(J11:J16)</f>
        <v>0</v>
      </c>
      <c r="K17" s="24">
        <f>+H17+I17+J17</f>
        <v>342930000</v>
      </c>
    </row>
    <row r="18" spans="2:11" ht="57.75" customHeight="1">
      <c r="B18" s="1" t="s">
        <v>13</v>
      </c>
      <c r="C18" s="187" t="s">
        <v>24</v>
      </c>
      <c r="D18" s="188"/>
      <c r="E18" s="188"/>
      <c r="F18" s="188"/>
      <c r="G18" s="188"/>
      <c r="H18" s="188"/>
      <c r="I18" s="188"/>
      <c r="J18" s="188"/>
      <c r="K18" s="189"/>
    </row>
    <row r="19" spans="2:11" ht="55.5" customHeight="1">
      <c r="B19" s="2" t="s">
        <v>2</v>
      </c>
      <c r="C19" s="190" t="s">
        <v>15</v>
      </c>
      <c r="D19" s="188"/>
      <c r="E19" s="188"/>
      <c r="F19" s="188"/>
      <c r="G19" s="188"/>
      <c r="H19" s="188"/>
      <c r="I19" s="188"/>
      <c r="J19" s="188"/>
      <c r="K19" s="189"/>
    </row>
    <row r="20" spans="2:11" ht="42.75" customHeight="1">
      <c r="B20" s="2" t="s">
        <v>3</v>
      </c>
      <c r="C20" s="190" t="s">
        <v>18</v>
      </c>
      <c r="D20" s="190"/>
      <c r="E20" s="190"/>
      <c r="F20" s="190"/>
      <c r="G20" s="190"/>
      <c r="H20" s="190"/>
      <c r="I20" s="190"/>
      <c r="J20" s="190"/>
      <c r="K20" s="191"/>
    </row>
    <row r="21" spans="2:11" ht="42.75" customHeight="1" thickBot="1">
      <c r="B21" s="3" t="s">
        <v>12</v>
      </c>
      <c r="C21" s="4" t="s">
        <v>18</v>
      </c>
      <c r="D21" s="4"/>
      <c r="E21" s="4"/>
      <c r="F21" s="4"/>
      <c r="G21" s="4"/>
      <c r="H21" s="4"/>
      <c r="I21" s="4"/>
      <c r="J21" s="4"/>
      <c r="K21" s="5"/>
    </row>
    <row r="22" spans="2:11" ht="42.75" customHeight="1" thickBot="1">
      <c r="B22" s="6" t="s">
        <v>5</v>
      </c>
      <c r="C22" s="7" t="s">
        <v>6</v>
      </c>
      <c r="D22" s="8" t="s">
        <v>7</v>
      </c>
      <c r="E22" s="179" t="s">
        <v>8</v>
      </c>
      <c r="F22" s="180"/>
      <c r="G22" s="9" t="s">
        <v>9</v>
      </c>
      <c r="H22" s="53" t="s">
        <v>230</v>
      </c>
      <c r="I22" s="53" t="s">
        <v>229</v>
      </c>
      <c r="J22" s="53" t="s">
        <v>227</v>
      </c>
      <c r="K22" s="10" t="s">
        <v>10</v>
      </c>
    </row>
    <row r="23" spans="2:11" ht="48.75" customHeight="1">
      <c r="B23" s="181" t="s">
        <v>19</v>
      </c>
      <c r="C23" s="184" t="s">
        <v>213</v>
      </c>
      <c r="D23" s="169" t="s">
        <v>181</v>
      </c>
      <c r="E23" s="11" t="s">
        <v>11</v>
      </c>
      <c r="F23" s="99" t="s">
        <v>110</v>
      </c>
      <c r="G23" s="184" t="s">
        <v>214</v>
      </c>
      <c r="H23" s="13"/>
      <c r="I23" s="13"/>
      <c r="J23" s="13"/>
      <c r="K23" s="13"/>
    </row>
    <row r="24" spans="2:11" ht="42.75" customHeight="1">
      <c r="B24" s="182"/>
      <c r="C24" s="185"/>
      <c r="D24" s="170"/>
      <c r="E24" s="14">
        <v>2010</v>
      </c>
      <c r="F24" s="100" t="s">
        <v>154</v>
      </c>
      <c r="G24" s="185"/>
      <c r="H24" s="31">
        <f>5*1500000*1.61*12*0.75</f>
        <v>108675000</v>
      </c>
      <c r="I24" s="31">
        <v>0</v>
      </c>
      <c r="J24" s="31">
        <v>0</v>
      </c>
      <c r="K24" s="108" t="s">
        <v>80</v>
      </c>
    </row>
    <row r="25" spans="2:11" ht="42.75" customHeight="1">
      <c r="B25" s="182"/>
      <c r="C25" s="185"/>
      <c r="D25" s="170"/>
      <c r="E25" s="14">
        <v>2011</v>
      </c>
      <c r="F25" s="100" t="s">
        <v>111</v>
      </c>
      <c r="G25" s="185"/>
      <c r="H25" s="31">
        <f>4*1500000*1.61*12*0.75</f>
        <v>86940000</v>
      </c>
      <c r="I25" s="31">
        <v>0</v>
      </c>
      <c r="J25" s="31">
        <v>0</v>
      </c>
      <c r="K25" s="108" t="s">
        <v>80</v>
      </c>
    </row>
    <row r="26" spans="2:11" ht="42.75" customHeight="1">
      <c r="B26" s="182"/>
      <c r="C26" s="185"/>
      <c r="D26" s="170"/>
      <c r="E26" s="14">
        <v>2012</v>
      </c>
      <c r="F26" s="100" t="s">
        <v>112</v>
      </c>
      <c r="G26" s="185"/>
      <c r="H26" s="31">
        <f>3*1500000*1.61*12*0.75</f>
        <v>65205000</v>
      </c>
      <c r="I26" s="31">
        <v>0</v>
      </c>
      <c r="J26" s="31">
        <v>0</v>
      </c>
      <c r="K26" s="108" t="s">
        <v>80</v>
      </c>
    </row>
    <row r="27" spans="2:11" ht="42.75" customHeight="1">
      <c r="B27" s="182"/>
      <c r="C27" s="185"/>
      <c r="D27" s="170"/>
      <c r="E27" s="14">
        <v>2013</v>
      </c>
      <c r="F27" s="100" t="s">
        <v>113</v>
      </c>
      <c r="G27" s="185"/>
      <c r="H27" s="31">
        <f>2*1500000*1.61*12*0.75</f>
        <v>43470000</v>
      </c>
      <c r="I27" s="31">
        <v>0</v>
      </c>
      <c r="J27" s="31">
        <v>0</v>
      </c>
      <c r="K27" s="108" t="s">
        <v>80</v>
      </c>
    </row>
    <row r="28" spans="2:11" ht="42.75" customHeight="1" thickBot="1">
      <c r="B28" s="183"/>
      <c r="C28" s="186"/>
      <c r="D28" s="171"/>
      <c r="E28" s="17">
        <v>2014</v>
      </c>
      <c r="F28" s="101" t="s">
        <v>113</v>
      </c>
      <c r="G28" s="186"/>
      <c r="H28" s="97">
        <f>1.5*1500000*1.61*12*0.75</f>
        <v>32602500</v>
      </c>
      <c r="I28" s="31">
        <v>0</v>
      </c>
      <c r="J28" s="31">
        <v>0</v>
      </c>
      <c r="K28" s="108" t="s">
        <v>80</v>
      </c>
    </row>
    <row r="29" spans="2:11" ht="42.75" customHeight="1" thickBot="1">
      <c r="B29" s="19"/>
      <c r="C29" s="20"/>
      <c r="D29" s="20"/>
      <c r="E29" s="20"/>
      <c r="F29" s="20"/>
      <c r="G29" s="20"/>
      <c r="H29" s="24">
        <f>SUM(H23:H28)</f>
        <v>336892500</v>
      </c>
      <c r="I29" s="24">
        <f>SUM(I23:I28)</f>
        <v>0</v>
      </c>
      <c r="J29" s="24">
        <f>SUM(J23:J28)</f>
        <v>0</v>
      </c>
      <c r="K29" s="24">
        <f>+H29+I29+J29</f>
        <v>336892500</v>
      </c>
    </row>
    <row r="30" spans="2:11" ht="57.75" customHeight="1">
      <c r="B30" s="1" t="s">
        <v>13</v>
      </c>
      <c r="C30" s="187" t="s">
        <v>20</v>
      </c>
      <c r="D30" s="188"/>
      <c r="E30" s="188"/>
      <c r="F30" s="188"/>
      <c r="G30" s="188"/>
      <c r="H30" s="188"/>
      <c r="I30" s="188"/>
      <c r="J30" s="188"/>
      <c r="K30" s="189"/>
    </row>
    <row r="31" spans="2:11" ht="42.75" customHeight="1">
      <c r="B31" s="2" t="s">
        <v>2</v>
      </c>
      <c r="C31" s="190" t="s">
        <v>21</v>
      </c>
      <c r="D31" s="188"/>
      <c r="E31" s="188"/>
      <c r="F31" s="188"/>
      <c r="G31" s="188"/>
      <c r="H31" s="188"/>
      <c r="I31" s="188"/>
      <c r="J31" s="188"/>
      <c r="K31" s="189"/>
    </row>
    <row r="32" spans="2:11" ht="42.75" customHeight="1">
      <c r="B32" s="2" t="s">
        <v>3</v>
      </c>
      <c r="C32" s="190" t="s">
        <v>22</v>
      </c>
      <c r="D32" s="190"/>
      <c r="E32" s="190"/>
      <c r="F32" s="190"/>
      <c r="G32" s="190"/>
      <c r="H32" s="190"/>
      <c r="I32" s="190"/>
      <c r="J32" s="190"/>
      <c r="K32" s="191"/>
    </row>
    <row r="33" spans="2:11" ht="42.75" customHeight="1" thickBot="1">
      <c r="B33" s="3" t="s">
        <v>4</v>
      </c>
      <c r="C33" s="190" t="s">
        <v>22</v>
      </c>
      <c r="D33" s="190"/>
      <c r="E33" s="190"/>
      <c r="F33" s="190"/>
      <c r="G33" s="190"/>
      <c r="H33" s="190"/>
      <c r="I33" s="190"/>
      <c r="J33" s="190"/>
      <c r="K33" s="191"/>
    </row>
    <row r="34" spans="2:11" ht="42.75" customHeight="1" thickBot="1">
      <c r="B34" s="6" t="s">
        <v>5</v>
      </c>
      <c r="C34" s="7" t="s">
        <v>6</v>
      </c>
      <c r="D34" s="8" t="s">
        <v>7</v>
      </c>
      <c r="E34" s="179" t="s">
        <v>8</v>
      </c>
      <c r="F34" s="180"/>
      <c r="G34" s="9" t="s">
        <v>9</v>
      </c>
      <c r="H34" s="110" t="s">
        <v>230</v>
      </c>
      <c r="I34" s="110" t="s">
        <v>229</v>
      </c>
      <c r="J34" s="110" t="s">
        <v>227</v>
      </c>
      <c r="K34" s="111" t="s">
        <v>10</v>
      </c>
    </row>
    <row r="35" spans="2:11" ht="57" customHeight="1">
      <c r="B35" s="192" t="s">
        <v>23</v>
      </c>
      <c r="C35" s="195" t="s">
        <v>114</v>
      </c>
      <c r="D35" s="172" t="s">
        <v>121</v>
      </c>
      <c r="E35" s="11" t="s">
        <v>11</v>
      </c>
      <c r="F35" s="12" t="s">
        <v>115</v>
      </c>
      <c r="G35" s="198" t="s">
        <v>215</v>
      </c>
      <c r="H35" s="109"/>
      <c r="I35" s="109"/>
      <c r="J35" s="109"/>
      <c r="K35" s="109"/>
    </row>
    <row r="36" spans="2:11" ht="42.75" customHeight="1">
      <c r="B36" s="193"/>
      <c r="C36" s="196"/>
      <c r="D36" s="201"/>
      <c r="E36" s="14">
        <v>2010</v>
      </c>
      <c r="F36" s="100" t="s">
        <v>122</v>
      </c>
      <c r="G36" s="199"/>
      <c r="H36" s="31">
        <f>1500000*1.61*6*3*0.75</f>
        <v>32602500</v>
      </c>
      <c r="I36" s="31">
        <f>4000000</f>
        <v>4000000</v>
      </c>
      <c r="J36" s="31">
        <v>0</v>
      </c>
      <c r="K36" s="108" t="s">
        <v>80</v>
      </c>
    </row>
    <row r="37" spans="2:11" ht="42.75" customHeight="1">
      <c r="B37" s="193"/>
      <c r="C37" s="196"/>
      <c r="D37" s="201"/>
      <c r="E37" s="14">
        <v>2011</v>
      </c>
      <c r="F37" s="100" t="s">
        <v>123</v>
      </c>
      <c r="G37" s="199"/>
      <c r="H37" s="31">
        <f>1500000*1.61*6*3*0.75</f>
        <v>32602500</v>
      </c>
      <c r="I37" s="31">
        <f>5000000</f>
        <v>5000000</v>
      </c>
      <c r="J37" s="31">
        <v>0</v>
      </c>
      <c r="K37" s="108" t="s">
        <v>80</v>
      </c>
    </row>
    <row r="38" spans="2:11" ht="42.75" customHeight="1">
      <c r="B38" s="193"/>
      <c r="C38" s="196"/>
      <c r="D38" s="201"/>
      <c r="E38" s="14">
        <v>2012</v>
      </c>
      <c r="F38" s="100" t="s">
        <v>124</v>
      </c>
      <c r="G38" s="199"/>
      <c r="H38" s="31">
        <f>1500000*1.61*6*3*0.75*1.06</f>
        <v>34558650</v>
      </c>
      <c r="I38" s="31">
        <f>6000000</f>
        <v>6000000</v>
      </c>
      <c r="J38" s="31">
        <v>0</v>
      </c>
      <c r="K38" s="108" t="s">
        <v>80</v>
      </c>
    </row>
    <row r="39" spans="2:11" ht="42.75" customHeight="1">
      <c r="B39" s="193"/>
      <c r="C39" s="196"/>
      <c r="D39" s="201"/>
      <c r="E39" s="14">
        <v>2013</v>
      </c>
      <c r="F39" s="100" t="s">
        <v>125</v>
      </c>
      <c r="G39" s="199"/>
      <c r="H39" s="31">
        <f>1500000*1.61*6*3*0.75*1.06</f>
        <v>34558650</v>
      </c>
      <c r="I39" s="31">
        <f>6000000</f>
        <v>6000000</v>
      </c>
      <c r="J39" s="31">
        <v>0</v>
      </c>
      <c r="K39" s="108" t="s">
        <v>80</v>
      </c>
    </row>
    <row r="40" spans="2:11" ht="42.75" customHeight="1" thickBot="1">
      <c r="B40" s="194"/>
      <c r="C40" s="197"/>
      <c r="D40" s="202"/>
      <c r="E40" s="17">
        <v>2014</v>
      </c>
      <c r="F40" s="113" t="s">
        <v>126</v>
      </c>
      <c r="G40" s="200"/>
      <c r="H40" s="31">
        <f>1500000*1.61*6*3*0.75*1.06</f>
        <v>34558650</v>
      </c>
      <c r="I40" s="31">
        <f>6000000</f>
        <v>6000000</v>
      </c>
      <c r="J40" s="31">
        <v>0</v>
      </c>
      <c r="K40" s="108" t="s">
        <v>80</v>
      </c>
    </row>
    <row r="41" spans="2:11" ht="42.75" customHeight="1" thickBot="1">
      <c r="B41" s="19"/>
      <c r="C41" s="20"/>
      <c r="D41" s="20"/>
      <c r="E41" s="21"/>
      <c r="F41" s="21"/>
      <c r="G41" s="20"/>
      <c r="H41" s="24">
        <f>SUM(H35:H40)</f>
        <v>168880950</v>
      </c>
      <c r="I41" s="24">
        <f>SUM(I35:I40)</f>
        <v>27000000</v>
      </c>
      <c r="J41" s="24">
        <f>SUM(J35:J40)</f>
        <v>0</v>
      </c>
      <c r="K41" s="24">
        <f>+H41+I41+J41</f>
        <v>195880950</v>
      </c>
    </row>
    <row r="42" ht="24" customHeight="1" thickBot="1"/>
    <row r="43" spans="2:11" ht="51.75" customHeight="1" thickBot="1">
      <c r="B43" s="22"/>
      <c r="C43" s="23"/>
      <c r="D43" s="23"/>
      <c r="E43" s="23"/>
      <c r="F43" s="23"/>
      <c r="G43" s="23"/>
      <c r="H43" s="112">
        <f>+H41+H29+H17</f>
        <v>848703450</v>
      </c>
      <c r="I43" s="112">
        <f>+I41+I29+I17</f>
        <v>27000000</v>
      </c>
      <c r="J43" s="112">
        <f>+J41+J29+J17</f>
        <v>0</v>
      </c>
      <c r="K43" s="112">
        <f>+H43+I43+J43</f>
        <v>875703450</v>
      </c>
    </row>
  </sheetData>
  <sheetProtection/>
  <mergeCells count="27">
    <mergeCell ref="C30:K30"/>
    <mergeCell ref="C31:K31"/>
    <mergeCell ref="C32:K32"/>
    <mergeCell ref="E34:F34"/>
    <mergeCell ref="B35:B40"/>
    <mergeCell ref="C35:C40"/>
    <mergeCell ref="G35:G40"/>
    <mergeCell ref="C33:K33"/>
    <mergeCell ref="D35:D40"/>
    <mergeCell ref="C23:C28"/>
    <mergeCell ref="G23:G28"/>
    <mergeCell ref="C6:K6"/>
    <mergeCell ref="C7:K7"/>
    <mergeCell ref="C8:K8"/>
    <mergeCell ref="C18:K18"/>
    <mergeCell ref="C19:K19"/>
    <mergeCell ref="C20:K20"/>
    <mergeCell ref="D23:D28"/>
    <mergeCell ref="D11:D16"/>
    <mergeCell ref="B2:K2"/>
    <mergeCell ref="B5:K5"/>
    <mergeCell ref="E10:F10"/>
    <mergeCell ref="B11:B16"/>
    <mergeCell ref="C11:C16"/>
    <mergeCell ref="G11:G16"/>
    <mergeCell ref="E22:F22"/>
    <mergeCell ref="B23:B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6"/>
  <sheetViews>
    <sheetView showGridLines="0" zoomScale="70" zoomScaleNormal="70" zoomScalePageLayoutView="0" workbookViewId="0" topLeftCell="A1">
      <selection activeCell="L52" sqref="A1:L52"/>
    </sheetView>
  </sheetViews>
  <sheetFormatPr defaultColWidth="11.421875" defaultRowHeight="15"/>
  <cols>
    <col min="1" max="1" width="3.57421875" style="0" customWidth="1"/>
    <col min="2" max="2" width="45.421875" style="0" customWidth="1"/>
    <col min="3" max="3" width="39.140625" style="0" customWidth="1"/>
    <col min="4" max="4" width="50.8515625" style="0" customWidth="1"/>
    <col min="5" max="5" width="11.57421875" style="0" customWidth="1"/>
    <col min="6" max="6" width="41.140625" style="0" customWidth="1"/>
    <col min="7" max="7" width="27.421875" style="0" customWidth="1"/>
    <col min="8" max="10" width="33.57421875" style="0" customWidth="1"/>
    <col min="11" max="11" width="32.8515625" style="0" customWidth="1"/>
    <col min="12" max="12" width="4.421875" style="0" customWidth="1"/>
    <col min="13" max="13" width="19.140625" style="0" bestFit="1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64.5" customHeight="1">
      <c r="B5" s="176" t="s">
        <v>25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2:11" ht="59.25" customHeight="1">
      <c r="B6" s="1" t="s">
        <v>13</v>
      </c>
      <c r="C6" s="187" t="s">
        <v>14</v>
      </c>
      <c r="D6" s="188"/>
      <c r="E6" s="188"/>
      <c r="F6" s="188"/>
      <c r="G6" s="188"/>
      <c r="H6" s="188"/>
      <c r="I6" s="188"/>
      <c r="J6" s="188"/>
      <c r="K6" s="189"/>
    </row>
    <row r="7" spans="2:11" ht="59.25" customHeight="1">
      <c r="B7" s="2" t="s">
        <v>2</v>
      </c>
      <c r="C7" s="190" t="s">
        <v>21</v>
      </c>
      <c r="D7" s="188"/>
      <c r="E7" s="188"/>
      <c r="F7" s="188"/>
      <c r="G7" s="188"/>
      <c r="H7" s="188"/>
      <c r="I7" s="188"/>
      <c r="J7" s="188"/>
      <c r="K7" s="189"/>
    </row>
    <row r="8" spans="2:11" ht="59.25" customHeight="1">
      <c r="B8" s="2" t="s">
        <v>3</v>
      </c>
      <c r="C8" s="190" t="s">
        <v>26</v>
      </c>
      <c r="D8" s="190"/>
      <c r="E8" s="190"/>
      <c r="F8" s="190"/>
      <c r="G8" s="190"/>
      <c r="H8" s="190"/>
      <c r="I8" s="190"/>
      <c r="J8" s="190"/>
      <c r="K8" s="191"/>
    </row>
    <row r="9" spans="2:11" ht="59.25" customHeight="1" thickBot="1">
      <c r="B9" s="3" t="s">
        <v>4</v>
      </c>
      <c r="C9" s="4" t="s">
        <v>27</v>
      </c>
      <c r="D9" s="4"/>
      <c r="E9" s="4"/>
      <c r="F9" s="4"/>
      <c r="G9" s="4"/>
      <c r="H9" s="4"/>
      <c r="I9" s="4"/>
      <c r="J9" s="4"/>
      <c r="K9" s="5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52.5" customHeight="1">
      <c r="B11" s="203" t="s">
        <v>28</v>
      </c>
      <c r="C11" s="206" t="s">
        <v>180</v>
      </c>
      <c r="D11" s="209" t="s">
        <v>127</v>
      </c>
      <c r="E11" s="11" t="s">
        <v>11</v>
      </c>
      <c r="F11" s="12"/>
      <c r="G11" s="217" t="s">
        <v>85</v>
      </c>
      <c r="H11" s="13"/>
      <c r="I11" s="13"/>
      <c r="J11" s="13"/>
      <c r="K11" s="13"/>
    </row>
    <row r="12" spans="2:13" ht="42.75" customHeight="1">
      <c r="B12" s="204"/>
      <c r="C12" s="207"/>
      <c r="D12" s="212"/>
      <c r="E12" s="14">
        <v>2010</v>
      </c>
      <c r="F12" s="15" t="s">
        <v>81</v>
      </c>
      <c r="G12" s="218"/>
      <c r="H12" s="28">
        <v>0</v>
      </c>
      <c r="I12" s="28">
        <v>125000000</v>
      </c>
      <c r="J12" s="28">
        <v>0</v>
      </c>
      <c r="K12" s="27" t="s">
        <v>80</v>
      </c>
      <c r="M12" s="54"/>
    </row>
    <row r="13" spans="2:13" ht="42.75" customHeight="1">
      <c r="B13" s="204"/>
      <c r="C13" s="207"/>
      <c r="D13" s="212"/>
      <c r="E13" s="14">
        <v>2011</v>
      </c>
      <c r="F13" s="16" t="s">
        <v>82</v>
      </c>
      <c r="G13" s="218"/>
      <c r="H13" s="28">
        <v>0</v>
      </c>
      <c r="I13" s="28">
        <f>100000000*0.4</f>
        <v>40000000</v>
      </c>
      <c r="J13" s="28">
        <f>100000000*0.6</f>
        <v>60000000</v>
      </c>
      <c r="K13" s="27" t="s">
        <v>232</v>
      </c>
      <c r="M13" s="54"/>
    </row>
    <row r="14" spans="2:13" ht="42.75" customHeight="1">
      <c r="B14" s="204"/>
      <c r="C14" s="207"/>
      <c r="D14" s="212"/>
      <c r="E14" s="14">
        <v>2012</v>
      </c>
      <c r="F14" s="16" t="s">
        <v>83</v>
      </c>
      <c r="G14" s="218"/>
      <c r="H14" s="28">
        <v>0</v>
      </c>
      <c r="I14" s="30">
        <f>65000000*0.4</f>
        <v>26000000</v>
      </c>
      <c r="J14" s="30">
        <f>65000000*0.6</f>
        <v>39000000</v>
      </c>
      <c r="K14" s="27" t="s">
        <v>232</v>
      </c>
      <c r="M14" s="54"/>
    </row>
    <row r="15" spans="2:13" ht="42.75" customHeight="1">
      <c r="B15" s="204"/>
      <c r="C15" s="207"/>
      <c r="D15" s="212"/>
      <c r="E15" s="14">
        <v>2013</v>
      </c>
      <c r="F15" s="16" t="s">
        <v>84</v>
      </c>
      <c r="G15" s="218"/>
      <c r="H15" s="28">
        <v>0</v>
      </c>
      <c r="I15" s="30">
        <v>30000000</v>
      </c>
      <c r="J15" s="28">
        <v>0</v>
      </c>
      <c r="K15" s="27" t="s">
        <v>80</v>
      </c>
      <c r="M15" s="54"/>
    </row>
    <row r="16" spans="2:13" ht="42.75" customHeight="1" thickBot="1">
      <c r="B16" s="205"/>
      <c r="C16" s="208"/>
      <c r="D16" s="213"/>
      <c r="E16" s="17">
        <v>2014</v>
      </c>
      <c r="F16" s="16" t="s">
        <v>84</v>
      </c>
      <c r="G16" s="219"/>
      <c r="H16" s="28">
        <v>0</v>
      </c>
      <c r="I16" s="29">
        <v>18000000</v>
      </c>
      <c r="J16" s="28">
        <v>0</v>
      </c>
      <c r="K16" s="27" t="s">
        <v>80</v>
      </c>
      <c r="M16" s="54"/>
    </row>
    <row r="17" spans="2:13" ht="42.75" customHeight="1" thickBot="1">
      <c r="B17" s="19"/>
      <c r="C17" s="20"/>
      <c r="D17" s="20"/>
      <c r="E17" s="21"/>
      <c r="F17" s="21"/>
      <c r="G17" s="20"/>
      <c r="H17" s="24">
        <f>SUM(H11:H16)</f>
        <v>0</v>
      </c>
      <c r="I17" s="24">
        <f>SUM(I11:I16)</f>
        <v>239000000</v>
      </c>
      <c r="J17" s="24">
        <f>SUM(J11:J16)</f>
        <v>99000000</v>
      </c>
      <c r="K17" s="24">
        <f>+H17+I17+J17</f>
        <v>338000000</v>
      </c>
      <c r="M17" s="54"/>
    </row>
    <row r="18" spans="2:11" ht="42.75" customHeight="1" thickBot="1">
      <c r="B18" s="3" t="s">
        <v>12</v>
      </c>
      <c r="C18" s="4" t="s">
        <v>29</v>
      </c>
      <c r="D18" s="4"/>
      <c r="E18" s="4"/>
      <c r="F18" s="4"/>
      <c r="G18" s="4"/>
      <c r="H18" s="4"/>
      <c r="I18" s="4"/>
      <c r="J18" s="4"/>
      <c r="K18" s="5"/>
    </row>
    <row r="19" spans="2:11" ht="42.75" customHeight="1" thickBot="1">
      <c r="B19" s="6" t="s">
        <v>5</v>
      </c>
      <c r="C19" s="7" t="s">
        <v>6</v>
      </c>
      <c r="D19" s="8" t="s">
        <v>7</v>
      </c>
      <c r="E19" s="179" t="s">
        <v>8</v>
      </c>
      <c r="F19" s="180"/>
      <c r="G19" s="9" t="s">
        <v>9</v>
      </c>
      <c r="H19" s="53" t="s">
        <v>230</v>
      </c>
      <c r="I19" s="53" t="s">
        <v>229</v>
      </c>
      <c r="J19" s="53" t="s">
        <v>227</v>
      </c>
      <c r="K19" s="10" t="s">
        <v>10</v>
      </c>
    </row>
    <row r="20" spans="2:11" ht="42.75" customHeight="1">
      <c r="B20" s="203" t="s">
        <v>30</v>
      </c>
      <c r="C20" s="214" t="s">
        <v>128</v>
      </c>
      <c r="D20" s="209" t="s">
        <v>129</v>
      </c>
      <c r="E20" s="11" t="s">
        <v>11</v>
      </c>
      <c r="F20" s="12"/>
      <c r="G20" s="217" t="s">
        <v>130</v>
      </c>
      <c r="H20" s="13"/>
      <c r="I20" s="13"/>
      <c r="J20" s="13"/>
      <c r="K20" s="13"/>
    </row>
    <row r="21" spans="2:11" ht="42.75" customHeight="1">
      <c r="B21" s="204"/>
      <c r="C21" s="215"/>
      <c r="D21" s="212"/>
      <c r="E21" s="14">
        <v>2010</v>
      </c>
      <c r="F21" s="15" t="s">
        <v>131</v>
      </c>
      <c r="G21" s="220"/>
      <c r="H21" s="28">
        <v>0</v>
      </c>
      <c r="I21" s="30">
        <f>65000000*0.4</f>
        <v>26000000</v>
      </c>
      <c r="J21" s="30">
        <f>65000000*0.6</f>
        <v>39000000</v>
      </c>
      <c r="K21" s="27" t="s">
        <v>80</v>
      </c>
    </row>
    <row r="22" spans="2:11" ht="42.75" customHeight="1">
      <c r="B22" s="204"/>
      <c r="C22" s="215"/>
      <c r="D22" s="212"/>
      <c r="E22" s="14">
        <v>2011</v>
      </c>
      <c r="F22" s="15" t="s">
        <v>132</v>
      </c>
      <c r="G22" s="220"/>
      <c r="H22" s="30">
        <v>0</v>
      </c>
      <c r="I22" s="30">
        <f>35000000*0.4</f>
        <v>14000000</v>
      </c>
      <c r="J22" s="30">
        <f>35000000*0.6</f>
        <v>21000000</v>
      </c>
      <c r="K22" s="27" t="s">
        <v>80</v>
      </c>
    </row>
    <row r="23" spans="2:11" ht="42.75" customHeight="1">
      <c r="B23" s="204"/>
      <c r="C23" s="215"/>
      <c r="D23" s="212"/>
      <c r="E23" s="14">
        <v>2012</v>
      </c>
      <c r="F23" s="15" t="s">
        <v>133</v>
      </c>
      <c r="G23" s="220"/>
      <c r="H23" s="30"/>
      <c r="I23" s="28">
        <v>30000000</v>
      </c>
      <c r="J23" s="28">
        <v>0</v>
      </c>
      <c r="K23" s="27" t="s">
        <v>80</v>
      </c>
    </row>
    <row r="24" spans="2:11" ht="42.75" customHeight="1">
      <c r="B24" s="204"/>
      <c r="C24" s="215"/>
      <c r="D24" s="212"/>
      <c r="E24" s="14">
        <v>2013</v>
      </c>
      <c r="F24" s="15" t="s">
        <v>134</v>
      </c>
      <c r="G24" s="220"/>
      <c r="H24" s="30"/>
      <c r="I24" s="28">
        <v>25000000</v>
      </c>
      <c r="J24" s="28">
        <v>0</v>
      </c>
      <c r="K24" s="27" t="s">
        <v>80</v>
      </c>
    </row>
    <row r="25" spans="2:11" ht="42.75" customHeight="1" thickBot="1">
      <c r="B25" s="205"/>
      <c r="C25" s="216"/>
      <c r="D25" s="213"/>
      <c r="E25" s="17">
        <v>2014</v>
      </c>
      <c r="F25" s="15" t="s">
        <v>134</v>
      </c>
      <c r="G25" s="221"/>
      <c r="H25" s="29"/>
      <c r="I25" s="28">
        <v>15000000</v>
      </c>
      <c r="J25" s="28">
        <v>0</v>
      </c>
      <c r="K25" s="27" t="s">
        <v>80</v>
      </c>
    </row>
    <row r="26" spans="2:11" ht="42.75" customHeight="1" thickBot="1">
      <c r="B26" s="19"/>
      <c r="C26" s="20"/>
      <c r="D26" s="20"/>
      <c r="E26" s="21"/>
      <c r="F26" s="21"/>
      <c r="G26" s="20"/>
      <c r="H26" s="24">
        <f>SUM(H20:H25)</f>
        <v>0</v>
      </c>
      <c r="I26" s="24">
        <f>SUM(I20:I25)</f>
        <v>110000000</v>
      </c>
      <c r="J26" s="24">
        <f>SUM(J20:J25)</f>
        <v>60000000</v>
      </c>
      <c r="K26" s="24">
        <f>+H26+I26+J26</f>
        <v>170000000</v>
      </c>
    </row>
    <row r="27" spans="2:11" ht="57.75" customHeight="1">
      <c r="B27" s="1" t="s">
        <v>13</v>
      </c>
      <c r="C27" s="187" t="s">
        <v>31</v>
      </c>
      <c r="D27" s="188"/>
      <c r="E27" s="188"/>
      <c r="F27" s="188"/>
      <c r="G27" s="188"/>
      <c r="H27" s="188"/>
      <c r="I27" s="188"/>
      <c r="J27" s="188"/>
      <c r="K27" s="189"/>
    </row>
    <row r="28" spans="2:11" ht="55.5" customHeight="1">
      <c r="B28" s="2" t="s">
        <v>2</v>
      </c>
      <c r="C28" s="190" t="s">
        <v>21</v>
      </c>
      <c r="D28" s="188"/>
      <c r="E28" s="188"/>
      <c r="F28" s="188"/>
      <c r="G28" s="188"/>
      <c r="H28" s="188"/>
      <c r="I28" s="188"/>
      <c r="J28" s="188"/>
      <c r="K28" s="189"/>
    </row>
    <row r="29" spans="2:11" ht="42.75" customHeight="1">
      <c r="B29" s="2" t="s">
        <v>3</v>
      </c>
      <c r="C29" s="190" t="s">
        <v>32</v>
      </c>
      <c r="D29" s="190"/>
      <c r="E29" s="190"/>
      <c r="F29" s="190"/>
      <c r="G29" s="190"/>
      <c r="H29" s="190"/>
      <c r="I29" s="190"/>
      <c r="J29" s="190"/>
      <c r="K29" s="191"/>
    </row>
    <row r="30" spans="2:11" ht="42.75" customHeight="1" thickBot="1">
      <c r="B30" s="3" t="s">
        <v>4</v>
      </c>
      <c r="C30" s="4" t="s">
        <v>33</v>
      </c>
      <c r="D30" s="4"/>
      <c r="E30" s="4"/>
      <c r="F30" s="4"/>
      <c r="G30" s="4"/>
      <c r="H30" s="4"/>
      <c r="I30" s="4"/>
      <c r="J30" s="4"/>
      <c r="K30" s="5"/>
    </row>
    <row r="31" spans="2:11" ht="42.75" customHeight="1" thickBot="1">
      <c r="B31" s="6" t="s">
        <v>5</v>
      </c>
      <c r="C31" s="7" t="s">
        <v>6</v>
      </c>
      <c r="D31" s="8" t="s">
        <v>7</v>
      </c>
      <c r="E31" s="179" t="s">
        <v>8</v>
      </c>
      <c r="F31" s="180"/>
      <c r="G31" s="9" t="s">
        <v>9</v>
      </c>
      <c r="H31" s="53" t="s">
        <v>230</v>
      </c>
      <c r="I31" s="53" t="s">
        <v>229</v>
      </c>
      <c r="J31" s="53" t="s">
        <v>227</v>
      </c>
      <c r="K31" s="10" t="s">
        <v>10</v>
      </c>
    </row>
    <row r="32" spans="2:11" ht="48.75" customHeight="1">
      <c r="B32" s="203" t="s">
        <v>34</v>
      </c>
      <c r="C32" s="214" t="s">
        <v>163</v>
      </c>
      <c r="D32" s="209" t="s">
        <v>164</v>
      </c>
      <c r="E32" s="11" t="s">
        <v>11</v>
      </c>
      <c r="F32" s="12" t="s">
        <v>165</v>
      </c>
      <c r="G32" s="217" t="s">
        <v>135</v>
      </c>
      <c r="H32" s="13"/>
      <c r="I32" s="13"/>
      <c r="J32" s="13"/>
      <c r="K32" s="13"/>
    </row>
    <row r="33" spans="2:11" ht="42.75" customHeight="1">
      <c r="B33" s="204"/>
      <c r="C33" s="215"/>
      <c r="D33" s="210"/>
      <c r="E33" s="14">
        <v>2010</v>
      </c>
      <c r="F33" s="15" t="s">
        <v>166</v>
      </c>
      <c r="G33" s="218"/>
      <c r="H33" s="28">
        <f>1800000*2*1.61*6/2+5000000</f>
        <v>22388000</v>
      </c>
      <c r="I33" s="28">
        <v>0</v>
      </c>
      <c r="J33" s="28">
        <v>0</v>
      </c>
      <c r="K33" s="27" t="s">
        <v>80</v>
      </c>
    </row>
    <row r="34" spans="2:11" ht="42.75" customHeight="1">
      <c r="B34" s="204"/>
      <c r="C34" s="215"/>
      <c r="D34" s="210"/>
      <c r="E34" s="14">
        <v>2011</v>
      </c>
      <c r="F34" s="15" t="s">
        <v>167</v>
      </c>
      <c r="G34" s="218"/>
      <c r="H34" s="30">
        <f>6000000+5000000+35000000</f>
        <v>46000000</v>
      </c>
      <c r="I34" s="28">
        <v>0</v>
      </c>
      <c r="J34" s="28">
        <v>0</v>
      </c>
      <c r="K34" s="27" t="s">
        <v>80</v>
      </c>
    </row>
    <row r="35" spans="2:11" ht="42.75" customHeight="1">
      <c r="B35" s="204"/>
      <c r="C35" s="215"/>
      <c r="D35" s="210"/>
      <c r="E35" s="14">
        <v>2012</v>
      </c>
      <c r="F35" s="15" t="s">
        <v>168</v>
      </c>
      <c r="G35" s="218"/>
      <c r="H35" s="30">
        <v>0</v>
      </c>
      <c r="I35" s="30">
        <f>6000000+5000000+50000000</f>
        <v>61000000</v>
      </c>
      <c r="J35" s="28">
        <v>0</v>
      </c>
      <c r="K35" s="27" t="s">
        <v>80</v>
      </c>
    </row>
    <row r="36" spans="2:11" ht="42.75" customHeight="1">
      <c r="B36" s="204"/>
      <c r="C36" s="215"/>
      <c r="D36" s="210"/>
      <c r="E36" s="14">
        <v>2013</v>
      </c>
      <c r="F36" s="15" t="s">
        <v>169</v>
      </c>
      <c r="G36" s="218"/>
      <c r="H36" s="30">
        <v>0</v>
      </c>
      <c r="I36" s="30">
        <f>6000000+5000000+35000000</f>
        <v>46000000</v>
      </c>
      <c r="J36" s="28">
        <v>0</v>
      </c>
      <c r="K36" s="27" t="s">
        <v>80</v>
      </c>
    </row>
    <row r="37" spans="2:11" ht="42.75" customHeight="1" thickBot="1">
      <c r="B37" s="205"/>
      <c r="C37" s="216"/>
      <c r="D37" s="211"/>
      <c r="E37" s="17">
        <v>2014</v>
      </c>
      <c r="F37" s="18" t="s">
        <v>170</v>
      </c>
      <c r="G37" s="219"/>
      <c r="H37" s="29">
        <v>0</v>
      </c>
      <c r="I37" s="29">
        <f>11000000+25000000</f>
        <v>36000000</v>
      </c>
      <c r="J37" s="28">
        <v>0</v>
      </c>
      <c r="K37" s="27" t="s">
        <v>80</v>
      </c>
    </row>
    <row r="38" spans="2:11" ht="42.75" customHeight="1" thickBot="1">
      <c r="B38" s="19"/>
      <c r="C38" s="20"/>
      <c r="D38" s="20"/>
      <c r="E38" s="20"/>
      <c r="F38" s="20"/>
      <c r="G38" s="20"/>
      <c r="H38" s="24">
        <f>SUM(H32:H37)</f>
        <v>68388000</v>
      </c>
      <c r="I38" s="24">
        <f>SUM(I32:I37)</f>
        <v>143000000</v>
      </c>
      <c r="J38" s="24">
        <f>SUM(J32:J37)</f>
        <v>0</v>
      </c>
      <c r="K38" s="24">
        <f>+H38+I38+J38</f>
        <v>211388000</v>
      </c>
    </row>
    <row r="39" spans="2:11" ht="42.75" customHeight="1">
      <c r="B39" s="2" t="s">
        <v>2</v>
      </c>
      <c r="C39" s="190" t="s">
        <v>35</v>
      </c>
      <c r="D39" s="188"/>
      <c r="E39" s="188"/>
      <c r="F39" s="188"/>
      <c r="G39" s="188"/>
      <c r="H39" s="188"/>
      <c r="I39" s="188"/>
      <c r="J39" s="188"/>
      <c r="K39" s="189"/>
    </row>
    <row r="40" spans="2:11" ht="42.75" customHeight="1">
      <c r="B40" s="2" t="s">
        <v>3</v>
      </c>
      <c r="C40" s="190" t="s">
        <v>36</v>
      </c>
      <c r="D40" s="190"/>
      <c r="E40" s="190"/>
      <c r="F40" s="190"/>
      <c r="G40" s="190"/>
      <c r="H40" s="190"/>
      <c r="I40" s="190"/>
      <c r="J40" s="190"/>
      <c r="K40" s="191"/>
    </row>
    <row r="41" spans="2:11" ht="42.75" customHeight="1" thickBot="1">
      <c r="B41" s="3" t="s">
        <v>4</v>
      </c>
      <c r="C41" s="190" t="s">
        <v>37</v>
      </c>
      <c r="D41" s="190"/>
      <c r="E41" s="190"/>
      <c r="F41" s="190"/>
      <c r="G41" s="190"/>
      <c r="H41" s="190"/>
      <c r="I41" s="190"/>
      <c r="J41" s="190"/>
      <c r="K41" s="191"/>
    </row>
    <row r="42" spans="2:11" ht="42.75" customHeight="1" thickBot="1">
      <c r="B42" s="6" t="s">
        <v>5</v>
      </c>
      <c r="C42" s="7" t="s">
        <v>6</v>
      </c>
      <c r="D42" s="8" t="s">
        <v>7</v>
      </c>
      <c r="E42" s="179" t="s">
        <v>8</v>
      </c>
      <c r="F42" s="180"/>
      <c r="G42" s="9" t="s">
        <v>9</v>
      </c>
      <c r="H42" s="53" t="s">
        <v>230</v>
      </c>
      <c r="I42" s="53" t="s">
        <v>229</v>
      </c>
      <c r="J42" s="53" t="s">
        <v>227</v>
      </c>
      <c r="K42" s="10" t="s">
        <v>10</v>
      </c>
    </row>
    <row r="43" spans="2:11" ht="57" customHeight="1">
      <c r="B43" s="203" t="s">
        <v>136</v>
      </c>
      <c r="C43" s="214" t="s">
        <v>137</v>
      </c>
      <c r="D43" s="209" t="s">
        <v>138</v>
      </c>
      <c r="E43" s="11" t="s">
        <v>11</v>
      </c>
      <c r="F43" s="12" t="s">
        <v>165</v>
      </c>
      <c r="G43" s="217" t="s">
        <v>135</v>
      </c>
      <c r="H43" s="13"/>
      <c r="I43" s="13"/>
      <c r="J43" s="13"/>
      <c r="K43" s="13"/>
    </row>
    <row r="44" spans="2:11" ht="42.75" customHeight="1">
      <c r="B44" s="204"/>
      <c r="C44" s="215"/>
      <c r="D44" s="210"/>
      <c r="E44" s="14">
        <v>2010</v>
      </c>
      <c r="F44" s="15" t="s">
        <v>166</v>
      </c>
      <c r="G44" s="218"/>
      <c r="H44" s="30">
        <v>0</v>
      </c>
      <c r="I44" s="30">
        <f>75000000*0.6</f>
        <v>45000000</v>
      </c>
      <c r="J44" s="30">
        <f>75000000*0.4</f>
        <v>30000000</v>
      </c>
      <c r="K44" s="27" t="s">
        <v>233</v>
      </c>
    </row>
    <row r="45" spans="2:11" ht="42.75" customHeight="1">
      <c r="B45" s="204"/>
      <c r="C45" s="215"/>
      <c r="D45" s="210"/>
      <c r="E45" s="14">
        <v>2011</v>
      </c>
      <c r="F45" s="15" t="s">
        <v>167</v>
      </c>
      <c r="G45" s="218"/>
      <c r="H45" s="30">
        <v>0</v>
      </c>
      <c r="I45" s="30">
        <f>75000000*0.6</f>
        <v>45000000</v>
      </c>
      <c r="J45" s="30">
        <f>75000000*0.4</f>
        <v>30000000</v>
      </c>
      <c r="K45" s="27" t="s">
        <v>233</v>
      </c>
    </row>
    <row r="46" spans="2:11" ht="42.75" customHeight="1">
      <c r="B46" s="204"/>
      <c r="C46" s="215"/>
      <c r="D46" s="210"/>
      <c r="E46" s="14">
        <v>2012</v>
      </c>
      <c r="F46" s="15" t="s">
        <v>168</v>
      </c>
      <c r="G46" s="218"/>
      <c r="H46" s="30">
        <v>0</v>
      </c>
      <c r="I46" s="30">
        <v>75000000</v>
      </c>
      <c r="J46" s="30">
        <v>0</v>
      </c>
      <c r="K46" s="92" t="s">
        <v>80</v>
      </c>
    </row>
    <row r="47" spans="2:11" ht="42.75" customHeight="1">
      <c r="B47" s="204"/>
      <c r="C47" s="215"/>
      <c r="D47" s="210"/>
      <c r="E47" s="14">
        <v>2013</v>
      </c>
      <c r="F47" s="15" t="s">
        <v>169</v>
      </c>
      <c r="G47" s="218"/>
      <c r="H47" s="30">
        <v>0</v>
      </c>
      <c r="I47" s="30">
        <v>75000000</v>
      </c>
      <c r="J47" s="30">
        <v>0</v>
      </c>
      <c r="K47" s="92" t="s">
        <v>80</v>
      </c>
    </row>
    <row r="48" spans="2:11" ht="42.75" customHeight="1" thickBot="1">
      <c r="B48" s="205"/>
      <c r="C48" s="216"/>
      <c r="D48" s="211"/>
      <c r="E48" s="17">
        <v>2014</v>
      </c>
      <c r="F48" s="18" t="s">
        <v>170</v>
      </c>
      <c r="G48" s="219"/>
      <c r="H48" s="29">
        <v>0</v>
      </c>
      <c r="I48" s="29">
        <v>65000000</v>
      </c>
      <c r="J48" s="29">
        <v>0</v>
      </c>
      <c r="K48" s="92" t="s">
        <v>80</v>
      </c>
    </row>
    <row r="49" spans="2:11" ht="42.75" customHeight="1" thickBot="1">
      <c r="B49" s="19"/>
      <c r="C49" s="20"/>
      <c r="D49" s="20"/>
      <c r="E49" s="21"/>
      <c r="F49" s="21"/>
      <c r="G49" s="20"/>
      <c r="H49" s="24">
        <f>SUM(H43:H48)</f>
        <v>0</v>
      </c>
      <c r="I49" s="24">
        <f>SUM(I43:I48)</f>
        <v>305000000</v>
      </c>
      <c r="J49" s="24">
        <f>SUM(J43:J48)</f>
        <v>60000000</v>
      </c>
      <c r="K49" s="24">
        <f>+H49+I49+J49</f>
        <v>365000000</v>
      </c>
    </row>
    <row r="50" ht="24" customHeight="1" thickBot="1"/>
    <row r="51" spans="2:11" ht="51.75" customHeight="1" thickBot="1">
      <c r="B51" s="22"/>
      <c r="C51" s="23"/>
      <c r="D51" s="23"/>
      <c r="E51" s="23"/>
      <c r="F51" s="23"/>
      <c r="G51" s="23"/>
      <c r="H51" s="25">
        <f>+H49+H38+H26+H17</f>
        <v>68388000</v>
      </c>
      <c r="I51" s="25">
        <f>+I49+I38+I26+I17</f>
        <v>797000000</v>
      </c>
      <c r="J51" s="25">
        <f>+J49+J38+J26+J17</f>
        <v>219000000</v>
      </c>
      <c r="K51" s="25">
        <f>+K17+K26+K38+K49</f>
        <v>1084388000</v>
      </c>
    </row>
    <row r="52" ht="15">
      <c r="K52" s="54"/>
    </row>
    <row r="53" ht="15">
      <c r="I53" s="54"/>
    </row>
    <row r="54" ht="15">
      <c r="K54" s="54"/>
    </row>
    <row r="56" ht="15">
      <c r="I56" s="54"/>
    </row>
  </sheetData>
  <sheetProtection/>
  <mergeCells count="31">
    <mergeCell ref="G43:G48"/>
    <mergeCell ref="C40:K40"/>
    <mergeCell ref="G32:G37"/>
    <mergeCell ref="D20:D25"/>
    <mergeCell ref="C28:K28"/>
    <mergeCell ref="D43:D48"/>
    <mergeCell ref="B20:B25"/>
    <mergeCell ref="C20:C25"/>
    <mergeCell ref="G20:G25"/>
    <mergeCell ref="C41:K41"/>
    <mergeCell ref="E42:F42"/>
    <mergeCell ref="B32:B37"/>
    <mergeCell ref="C27:K27"/>
    <mergeCell ref="B43:B48"/>
    <mergeCell ref="C43:C48"/>
    <mergeCell ref="D32:D37"/>
    <mergeCell ref="C39:K39"/>
    <mergeCell ref="D11:D16"/>
    <mergeCell ref="C29:K29"/>
    <mergeCell ref="E19:F19"/>
    <mergeCell ref="C32:C37"/>
    <mergeCell ref="G11:G16"/>
    <mergeCell ref="E31:F31"/>
    <mergeCell ref="B2:K2"/>
    <mergeCell ref="B5:K5"/>
    <mergeCell ref="C6:K6"/>
    <mergeCell ref="C7:K7"/>
    <mergeCell ref="C8:K8"/>
    <mergeCell ref="B11:B16"/>
    <mergeCell ref="C11:C16"/>
    <mergeCell ref="E10:F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9"/>
  <sheetViews>
    <sheetView showGridLines="0" zoomScale="70" zoomScaleNormal="70" zoomScalePageLayoutView="0" workbookViewId="0" topLeftCell="A1">
      <selection activeCell="L50" sqref="A1:L50"/>
    </sheetView>
  </sheetViews>
  <sheetFormatPr defaultColWidth="11.421875" defaultRowHeight="15"/>
  <cols>
    <col min="1" max="1" width="3.57421875" style="0" customWidth="1"/>
    <col min="2" max="2" width="45.421875" style="0" customWidth="1"/>
    <col min="3" max="3" width="31.140625" style="0" customWidth="1"/>
    <col min="4" max="4" width="46.421875" style="0" customWidth="1"/>
    <col min="5" max="5" width="11.57421875" style="0" customWidth="1"/>
    <col min="6" max="6" width="36.7109375" style="0" customWidth="1"/>
    <col min="7" max="7" width="27.421875" style="0" customWidth="1"/>
    <col min="8" max="8" width="37.7109375" style="0" customWidth="1"/>
    <col min="9" max="9" width="45.421875" style="0" bestFit="1" customWidth="1"/>
    <col min="10" max="10" width="47.140625" style="0" bestFit="1" customWidth="1"/>
    <col min="11" max="11" width="44.8515625" style="0" customWidth="1"/>
    <col min="12" max="12" width="4.421875" style="0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64.5" customHeight="1">
      <c r="B5" s="176" t="s">
        <v>38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2:11" ht="59.25" customHeight="1">
      <c r="B6" s="1" t="s">
        <v>13</v>
      </c>
      <c r="C6" s="187" t="s">
        <v>14</v>
      </c>
      <c r="D6" s="188"/>
      <c r="E6" s="188"/>
      <c r="F6" s="188"/>
      <c r="G6" s="188"/>
      <c r="H6" s="188"/>
      <c r="I6" s="188"/>
      <c r="J6" s="188"/>
      <c r="K6" s="189"/>
    </row>
    <row r="7" spans="2:11" ht="59.25" customHeight="1">
      <c r="B7" s="2" t="s">
        <v>2</v>
      </c>
      <c r="C7" s="190" t="s">
        <v>35</v>
      </c>
      <c r="D7" s="188"/>
      <c r="E7" s="188"/>
      <c r="F7" s="188"/>
      <c r="G7" s="188"/>
      <c r="H7" s="188"/>
      <c r="I7" s="188"/>
      <c r="J7" s="188"/>
      <c r="K7" s="189"/>
    </row>
    <row r="8" spans="2:11" ht="59.25" customHeight="1">
      <c r="B8" s="2" t="s">
        <v>3</v>
      </c>
      <c r="C8" s="190" t="s">
        <v>39</v>
      </c>
      <c r="D8" s="190"/>
      <c r="E8" s="190"/>
      <c r="F8" s="190"/>
      <c r="G8" s="190"/>
      <c r="H8" s="190"/>
      <c r="I8" s="190"/>
      <c r="J8" s="190"/>
      <c r="K8" s="191"/>
    </row>
    <row r="9" spans="2:11" ht="59.25" customHeight="1" thickBot="1">
      <c r="B9" s="3" t="s">
        <v>4</v>
      </c>
      <c r="C9" s="4" t="s">
        <v>40</v>
      </c>
      <c r="D9" s="4"/>
      <c r="E9" s="4"/>
      <c r="F9" s="4"/>
      <c r="G9" s="4"/>
      <c r="H9" s="4"/>
      <c r="I9" s="4"/>
      <c r="J9" s="4"/>
      <c r="K9" s="5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52.5" customHeight="1">
      <c r="B11" s="181" t="s">
        <v>41</v>
      </c>
      <c r="C11" s="222" t="s">
        <v>73</v>
      </c>
      <c r="D11" s="228" t="s">
        <v>74</v>
      </c>
      <c r="E11" s="11" t="s">
        <v>11</v>
      </c>
      <c r="F11" s="12"/>
      <c r="G11" s="225" t="s">
        <v>79</v>
      </c>
      <c r="H11" s="13"/>
      <c r="I11" s="13"/>
      <c r="J11" s="13"/>
      <c r="K11" s="13"/>
    </row>
    <row r="12" spans="2:11" ht="42.75" customHeight="1">
      <c r="B12" s="182"/>
      <c r="C12" s="223"/>
      <c r="D12" s="229"/>
      <c r="E12" s="14">
        <v>2010</v>
      </c>
      <c r="F12" s="100" t="s">
        <v>75</v>
      </c>
      <c r="G12" s="226"/>
      <c r="H12" s="133">
        <v>0</v>
      </c>
      <c r="I12" s="133">
        <v>0</v>
      </c>
      <c r="J12" s="133">
        <v>0</v>
      </c>
      <c r="K12" s="134"/>
    </row>
    <row r="13" spans="2:11" ht="42.75" customHeight="1">
      <c r="B13" s="182"/>
      <c r="C13" s="223"/>
      <c r="D13" s="229"/>
      <c r="E13" s="14">
        <v>2011</v>
      </c>
      <c r="F13" s="143" t="s">
        <v>76</v>
      </c>
      <c r="G13" s="226"/>
      <c r="H13" s="133">
        <v>0</v>
      </c>
      <c r="I13" s="135">
        <f>240000000*0.3</f>
        <v>72000000</v>
      </c>
      <c r="J13" s="133">
        <v>0</v>
      </c>
      <c r="K13" s="136" t="s">
        <v>80</v>
      </c>
    </row>
    <row r="14" spans="2:11" ht="42.75" customHeight="1">
      <c r="B14" s="182"/>
      <c r="C14" s="223"/>
      <c r="D14" s="229"/>
      <c r="E14" s="14">
        <v>2012</v>
      </c>
      <c r="F14" s="143" t="s">
        <v>77</v>
      </c>
      <c r="G14" s="226"/>
      <c r="H14" s="133">
        <v>0</v>
      </c>
      <c r="I14" s="135">
        <f>240000000*0.4</f>
        <v>96000000</v>
      </c>
      <c r="J14" s="133">
        <v>0</v>
      </c>
      <c r="K14" s="136" t="s">
        <v>80</v>
      </c>
    </row>
    <row r="15" spans="2:11" ht="42.75" customHeight="1">
      <c r="B15" s="182"/>
      <c r="C15" s="223"/>
      <c r="D15" s="229"/>
      <c r="E15" s="14">
        <v>2013</v>
      </c>
      <c r="F15" s="143" t="s">
        <v>78</v>
      </c>
      <c r="G15" s="226"/>
      <c r="H15" s="133">
        <v>0</v>
      </c>
      <c r="I15" s="135">
        <f>240000000*0.3</f>
        <v>72000000</v>
      </c>
      <c r="J15" s="133">
        <v>0</v>
      </c>
      <c r="K15" s="136" t="s">
        <v>80</v>
      </c>
    </row>
    <row r="16" spans="2:11" ht="42.75" customHeight="1" thickBot="1">
      <c r="B16" s="183"/>
      <c r="C16" s="224"/>
      <c r="D16" s="230"/>
      <c r="E16" s="17">
        <v>2014</v>
      </c>
      <c r="F16" s="143" t="s">
        <v>78</v>
      </c>
      <c r="G16" s="227"/>
      <c r="H16" s="133">
        <v>0</v>
      </c>
      <c r="I16" s="135">
        <f>240000000*0.03</f>
        <v>7200000</v>
      </c>
      <c r="J16" s="133">
        <v>0</v>
      </c>
      <c r="K16" s="136" t="s">
        <v>80</v>
      </c>
    </row>
    <row r="17" spans="2:11" ht="42.75" customHeight="1" thickBot="1">
      <c r="B17" s="19"/>
      <c r="C17" s="20"/>
      <c r="D17" s="20"/>
      <c r="E17" s="21"/>
      <c r="F17" s="21"/>
      <c r="G17" s="20"/>
      <c r="H17" s="137">
        <f>SUM(H11:H16)</f>
        <v>0</v>
      </c>
      <c r="I17" s="137">
        <f>SUM(I11:I16)</f>
        <v>247200000</v>
      </c>
      <c r="J17" s="137">
        <f>SUM(J11:J16)</f>
        <v>0</v>
      </c>
      <c r="K17" s="137">
        <f>+H17+I17+J17</f>
        <v>247200000</v>
      </c>
    </row>
    <row r="18" spans="2:11" ht="57.75" customHeight="1">
      <c r="B18" s="1" t="s">
        <v>13</v>
      </c>
      <c r="C18" s="187" t="s">
        <v>42</v>
      </c>
      <c r="D18" s="188"/>
      <c r="E18" s="188"/>
      <c r="F18" s="188"/>
      <c r="G18" s="188"/>
      <c r="H18" s="188"/>
      <c r="I18" s="188"/>
      <c r="J18" s="188"/>
      <c r="K18" s="189"/>
    </row>
    <row r="19" spans="2:11" ht="55.5" customHeight="1">
      <c r="B19" s="2" t="s">
        <v>2</v>
      </c>
      <c r="C19" s="190" t="s">
        <v>21</v>
      </c>
      <c r="D19" s="188"/>
      <c r="E19" s="188"/>
      <c r="F19" s="188"/>
      <c r="G19" s="188"/>
      <c r="H19" s="188"/>
      <c r="I19" s="188"/>
      <c r="J19" s="188"/>
      <c r="K19" s="189"/>
    </row>
    <row r="20" spans="2:11" ht="79.5" customHeight="1">
      <c r="B20" s="2" t="s">
        <v>3</v>
      </c>
      <c r="C20" s="190" t="s">
        <v>43</v>
      </c>
      <c r="D20" s="190"/>
      <c r="E20" s="190"/>
      <c r="F20" s="190"/>
      <c r="G20" s="190"/>
      <c r="H20" s="190"/>
      <c r="I20" s="190"/>
      <c r="J20" s="190"/>
      <c r="K20" s="191"/>
    </row>
    <row r="21" spans="2:11" ht="42.75" customHeight="1" thickBot="1">
      <c r="B21" s="3" t="s">
        <v>4</v>
      </c>
      <c r="C21" s="4" t="s">
        <v>44</v>
      </c>
      <c r="D21" s="4"/>
      <c r="E21" s="4"/>
      <c r="F21" s="4"/>
      <c r="G21" s="4"/>
      <c r="H21" s="4"/>
      <c r="I21" s="4"/>
      <c r="J21" s="4"/>
      <c r="K21" s="5"/>
    </row>
    <row r="22" spans="2:11" ht="42.75" customHeight="1" thickBot="1">
      <c r="B22" s="6" t="s">
        <v>5</v>
      </c>
      <c r="C22" s="7" t="s">
        <v>6</v>
      </c>
      <c r="D22" s="8" t="s">
        <v>7</v>
      </c>
      <c r="E22" s="179" t="s">
        <v>8</v>
      </c>
      <c r="F22" s="180"/>
      <c r="G22" s="9" t="s">
        <v>9</v>
      </c>
      <c r="H22" s="53" t="s">
        <v>230</v>
      </c>
      <c r="I22" s="53" t="s">
        <v>229</v>
      </c>
      <c r="J22" s="53" t="s">
        <v>227</v>
      </c>
      <c r="K22" s="10" t="s">
        <v>10</v>
      </c>
    </row>
    <row r="23" spans="2:11" ht="48.75" customHeight="1">
      <c r="B23" s="181" t="s">
        <v>160</v>
      </c>
      <c r="C23" s="222" t="s">
        <v>73</v>
      </c>
      <c r="D23" s="228" t="s">
        <v>74</v>
      </c>
      <c r="E23" s="11" t="s">
        <v>11</v>
      </c>
      <c r="F23" s="12"/>
      <c r="G23" s="225" t="s">
        <v>79</v>
      </c>
      <c r="H23" s="132"/>
      <c r="I23" s="132"/>
      <c r="J23" s="132"/>
      <c r="K23" s="132"/>
    </row>
    <row r="24" spans="2:11" ht="53.25" customHeight="1">
      <c r="B24" s="182"/>
      <c r="C24" s="223"/>
      <c r="D24" s="229"/>
      <c r="E24" s="14">
        <v>2010</v>
      </c>
      <c r="F24" s="98" t="s">
        <v>75</v>
      </c>
      <c r="G24" s="226"/>
      <c r="H24" s="133">
        <v>0</v>
      </c>
      <c r="I24" s="133">
        <v>0</v>
      </c>
      <c r="J24" s="133">
        <v>0</v>
      </c>
      <c r="K24" s="138"/>
    </row>
    <row r="25" spans="2:11" ht="53.25" customHeight="1">
      <c r="B25" s="182"/>
      <c r="C25" s="223"/>
      <c r="D25" s="229"/>
      <c r="E25" s="14">
        <v>2011</v>
      </c>
      <c r="F25" s="140" t="s">
        <v>76</v>
      </c>
      <c r="G25" s="226"/>
      <c r="H25" s="133">
        <v>0</v>
      </c>
      <c r="I25" s="135">
        <f>150000000/4</f>
        <v>37500000</v>
      </c>
      <c r="J25" s="133">
        <v>0</v>
      </c>
      <c r="K25" s="139" t="s">
        <v>159</v>
      </c>
    </row>
    <row r="26" spans="2:11" ht="53.25" customHeight="1">
      <c r="B26" s="182"/>
      <c r="C26" s="223"/>
      <c r="D26" s="229"/>
      <c r="E26" s="14">
        <v>2012</v>
      </c>
      <c r="F26" s="140" t="s">
        <v>77</v>
      </c>
      <c r="G26" s="226"/>
      <c r="H26" s="133">
        <v>0</v>
      </c>
      <c r="I26" s="135">
        <f>180000000/4</f>
        <v>45000000</v>
      </c>
      <c r="J26" s="133">
        <v>0</v>
      </c>
      <c r="K26" s="139" t="s">
        <v>159</v>
      </c>
    </row>
    <row r="27" spans="2:11" ht="53.25" customHeight="1">
      <c r="B27" s="182"/>
      <c r="C27" s="223"/>
      <c r="D27" s="229"/>
      <c r="E27" s="14">
        <v>2013</v>
      </c>
      <c r="F27" s="140" t="s">
        <v>78</v>
      </c>
      <c r="G27" s="226"/>
      <c r="H27" s="133">
        <v>0</v>
      </c>
      <c r="I27" s="135">
        <f>125000000/4</f>
        <v>31250000</v>
      </c>
      <c r="J27" s="133">
        <v>0</v>
      </c>
      <c r="K27" s="139" t="s">
        <v>159</v>
      </c>
    </row>
    <row r="28" spans="2:11" ht="53.25" customHeight="1" thickBot="1">
      <c r="B28" s="183"/>
      <c r="C28" s="224"/>
      <c r="D28" s="230"/>
      <c r="E28" s="17">
        <v>2014</v>
      </c>
      <c r="F28" s="140" t="s">
        <v>78</v>
      </c>
      <c r="G28" s="227"/>
      <c r="H28" s="133">
        <v>0</v>
      </c>
      <c r="I28" s="135">
        <f>50000000/4</f>
        <v>12500000</v>
      </c>
      <c r="J28" s="133">
        <v>0</v>
      </c>
      <c r="K28" s="139" t="s">
        <v>159</v>
      </c>
    </row>
    <row r="29" spans="2:11" ht="42.75" customHeight="1" thickBot="1">
      <c r="B29" s="19"/>
      <c r="C29" s="20"/>
      <c r="D29" s="20"/>
      <c r="E29" s="20"/>
      <c r="F29" s="20"/>
      <c r="G29" s="20"/>
      <c r="H29" s="137">
        <f>SUM(H23:H28)</f>
        <v>0</v>
      </c>
      <c r="I29" s="137">
        <f>SUM(I23:I28)</f>
        <v>126250000</v>
      </c>
      <c r="J29" s="137">
        <f>SUM(J23:J28)</f>
        <v>0</v>
      </c>
      <c r="K29" s="137">
        <f>+H29+I29+J29</f>
        <v>126250000</v>
      </c>
    </row>
    <row r="30" spans="2:11" ht="42.75" customHeight="1" thickBot="1">
      <c r="B30" s="3" t="s">
        <v>12</v>
      </c>
      <c r="C30" s="190" t="s">
        <v>45</v>
      </c>
      <c r="D30" s="190"/>
      <c r="E30" s="190"/>
      <c r="F30" s="190"/>
      <c r="G30" s="190"/>
      <c r="H30" s="190"/>
      <c r="I30" s="190"/>
      <c r="J30" s="190"/>
      <c r="K30" s="191"/>
    </row>
    <row r="31" spans="2:11" ht="42.75" customHeight="1" thickBot="1">
      <c r="B31" s="6" t="s">
        <v>5</v>
      </c>
      <c r="C31" s="7" t="s">
        <v>6</v>
      </c>
      <c r="D31" s="8" t="s">
        <v>7</v>
      </c>
      <c r="E31" s="179" t="s">
        <v>8</v>
      </c>
      <c r="F31" s="180"/>
      <c r="G31" s="9" t="s">
        <v>9</v>
      </c>
      <c r="H31" s="53" t="s">
        <v>230</v>
      </c>
      <c r="I31" s="53" t="s">
        <v>229</v>
      </c>
      <c r="J31" s="53" t="s">
        <v>227</v>
      </c>
      <c r="K31" s="10" t="s">
        <v>10</v>
      </c>
    </row>
    <row r="32" spans="2:11" ht="57" customHeight="1">
      <c r="B32" s="203" t="s">
        <v>48</v>
      </c>
      <c r="C32" s="231" t="s">
        <v>161</v>
      </c>
      <c r="D32" s="169" t="s">
        <v>173</v>
      </c>
      <c r="E32" s="11" t="s">
        <v>11</v>
      </c>
      <c r="F32" s="141" t="s">
        <v>172</v>
      </c>
      <c r="G32" s="217" t="s">
        <v>162</v>
      </c>
      <c r="H32" s="132"/>
      <c r="I32" s="132"/>
      <c r="J32" s="132"/>
      <c r="K32" s="13"/>
    </row>
    <row r="33" spans="2:11" ht="46.5">
      <c r="B33" s="204"/>
      <c r="C33" s="232"/>
      <c r="D33" s="170"/>
      <c r="E33" s="14">
        <v>2010</v>
      </c>
      <c r="F33" s="142" t="s">
        <v>174</v>
      </c>
      <c r="G33" s="218"/>
      <c r="H33" s="133">
        <v>0</v>
      </c>
      <c r="I33" s="133">
        <f>350000000*0.6</f>
        <v>210000000</v>
      </c>
      <c r="J33" s="133">
        <f>350000000*0.4</f>
        <v>140000000</v>
      </c>
      <c r="K33" s="117" t="s">
        <v>237</v>
      </c>
    </row>
    <row r="34" spans="2:11" ht="46.5">
      <c r="B34" s="204"/>
      <c r="C34" s="232"/>
      <c r="D34" s="170"/>
      <c r="E34" s="14">
        <v>2011</v>
      </c>
      <c r="F34" s="142" t="s">
        <v>175</v>
      </c>
      <c r="G34" s="218"/>
      <c r="H34" s="133">
        <v>0</v>
      </c>
      <c r="I34" s="135">
        <f>280000000*0.6</f>
        <v>168000000</v>
      </c>
      <c r="J34" s="135">
        <f>280000000*0.4</f>
        <v>112000000</v>
      </c>
      <c r="K34" s="117" t="s">
        <v>237</v>
      </c>
    </row>
    <row r="35" spans="2:11" ht="46.5">
      <c r="B35" s="204"/>
      <c r="C35" s="232"/>
      <c r="D35" s="170"/>
      <c r="E35" s="14">
        <v>2012</v>
      </c>
      <c r="F35" s="142" t="s">
        <v>176</v>
      </c>
      <c r="G35" s="218"/>
      <c r="H35" s="133">
        <v>0</v>
      </c>
      <c r="I35" s="135">
        <f>280000000*0.6</f>
        <v>168000000</v>
      </c>
      <c r="J35" s="135">
        <f>280000000*0.4</f>
        <v>112000000</v>
      </c>
      <c r="K35" s="117" t="s">
        <v>237</v>
      </c>
    </row>
    <row r="36" spans="2:11" ht="46.5">
      <c r="B36" s="204"/>
      <c r="C36" s="232"/>
      <c r="D36" s="170"/>
      <c r="E36" s="14">
        <v>2013</v>
      </c>
      <c r="F36" s="142" t="s">
        <v>177</v>
      </c>
      <c r="G36" s="218"/>
      <c r="H36" s="133">
        <v>0</v>
      </c>
      <c r="I36" s="135">
        <f>250000000*0.6</f>
        <v>150000000</v>
      </c>
      <c r="J36" s="135">
        <f>250000000*0.4</f>
        <v>100000000</v>
      </c>
      <c r="K36" s="117" t="s">
        <v>237</v>
      </c>
    </row>
    <row r="37" spans="2:11" ht="47.25" thickBot="1">
      <c r="B37" s="205"/>
      <c r="C37" s="233"/>
      <c r="D37" s="171"/>
      <c r="E37" s="17">
        <v>2014</v>
      </c>
      <c r="F37" s="142" t="s">
        <v>178</v>
      </c>
      <c r="G37" s="219"/>
      <c r="H37" s="133">
        <v>0</v>
      </c>
      <c r="I37" s="144">
        <f>150000000*0.6</f>
        <v>90000000</v>
      </c>
      <c r="J37" s="144">
        <f>150000000*0.4</f>
        <v>60000000</v>
      </c>
      <c r="K37" s="117" t="s">
        <v>237</v>
      </c>
    </row>
    <row r="38" spans="2:11" ht="42.75" customHeight="1" thickBot="1">
      <c r="B38" s="19"/>
      <c r="C38" s="20"/>
      <c r="D38" s="20"/>
      <c r="E38" s="21"/>
      <c r="F38" s="21"/>
      <c r="G38" s="20"/>
      <c r="H38" s="137">
        <f>SUM(H32:H37)</f>
        <v>0</v>
      </c>
      <c r="I38" s="137">
        <f>SUM(I32:I37)</f>
        <v>786000000</v>
      </c>
      <c r="J38" s="137">
        <f>SUM(J32:J37)</f>
        <v>524000000</v>
      </c>
      <c r="K38" s="137">
        <f>+H38+I38+J38</f>
        <v>1310000000</v>
      </c>
    </row>
    <row r="39" spans="2:11" ht="42.75" customHeight="1" thickBot="1">
      <c r="B39" s="3" t="s">
        <v>46</v>
      </c>
      <c r="C39" s="190" t="s">
        <v>47</v>
      </c>
      <c r="D39" s="190"/>
      <c r="E39" s="190"/>
      <c r="F39" s="190"/>
      <c r="G39" s="190"/>
      <c r="H39" s="190"/>
      <c r="I39" s="190"/>
      <c r="J39" s="190"/>
      <c r="K39" s="191"/>
    </row>
    <row r="40" spans="2:11" ht="42.75" customHeight="1" thickBot="1">
      <c r="B40" s="6" t="s">
        <v>5</v>
      </c>
      <c r="C40" s="7" t="s">
        <v>6</v>
      </c>
      <c r="D40" s="8" t="s">
        <v>7</v>
      </c>
      <c r="E40" s="179" t="s">
        <v>8</v>
      </c>
      <c r="F40" s="180"/>
      <c r="G40" s="9" t="s">
        <v>9</v>
      </c>
      <c r="H40" s="53" t="s">
        <v>230</v>
      </c>
      <c r="I40" s="53" t="s">
        <v>229</v>
      </c>
      <c r="J40" s="53" t="s">
        <v>227</v>
      </c>
      <c r="K40" s="10" t="s">
        <v>10</v>
      </c>
    </row>
    <row r="41" spans="2:11" ht="57" customHeight="1">
      <c r="B41" s="203" t="s">
        <v>49</v>
      </c>
      <c r="C41" s="231" t="s">
        <v>179</v>
      </c>
      <c r="D41" s="169" t="s">
        <v>173</v>
      </c>
      <c r="E41" s="11" t="s">
        <v>11</v>
      </c>
      <c r="F41" s="12"/>
      <c r="G41" s="217" t="s">
        <v>162</v>
      </c>
      <c r="H41" s="121"/>
      <c r="I41" s="121"/>
      <c r="J41" s="121"/>
      <c r="K41" s="121"/>
    </row>
    <row r="42" spans="2:11" ht="57" customHeight="1">
      <c r="B42" s="204"/>
      <c r="C42" s="232"/>
      <c r="D42" s="170"/>
      <c r="E42" s="14">
        <v>2010</v>
      </c>
      <c r="F42" s="142" t="s">
        <v>174</v>
      </c>
      <c r="G42" s="218"/>
      <c r="H42" s="104">
        <v>0</v>
      </c>
      <c r="I42" s="104">
        <v>35000000</v>
      </c>
      <c r="J42" s="104">
        <v>0</v>
      </c>
      <c r="K42" s="105" t="s">
        <v>80</v>
      </c>
    </row>
    <row r="43" spans="2:11" ht="57" customHeight="1">
      <c r="B43" s="204"/>
      <c r="C43" s="232"/>
      <c r="D43" s="170"/>
      <c r="E43" s="14">
        <v>2011</v>
      </c>
      <c r="F43" s="142" t="s">
        <v>175</v>
      </c>
      <c r="G43" s="218"/>
      <c r="H43" s="104">
        <v>0</v>
      </c>
      <c r="I43" s="122">
        <v>18000000</v>
      </c>
      <c r="J43" s="104">
        <v>0</v>
      </c>
      <c r="K43" s="105" t="s">
        <v>80</v>
      </c>
    </row>
    <row r="44" spans="2:11" ht="57" customHeight="1">
      <c r="B44" s="204"/>
      <c r="C44" s="232"/>
      <c r="D44" s="170"/>
      <c r="E44" s="14">
        <v>2012</v>
      </c>
      <c r="F44" s="142" t="s">
        <v>176</v>
      </c>
      <c r="G44" s="218"/>
      <c r="H44" s="104">
        <v>0</v>
      </c>
      <c r="I44" s="122">
        <v>18000000</v>
      </c>
      <c r="J44" s="104">
        <v>0</v>
      </c>
      <c r="K44" s="105" t="s">
        <v>80</v>
      </c>
    </row>
    <row r="45" spans="2:11" ht="57" customHeight="1">
      <c r="B45" s="204"/>
      <c r="C45" s="232"/>
      <c r="D45" s="170"/>
      <c r="E45" s="14">
        <v>2013</v>
      </c>
      <c r="F45" s="142" t="s">
        <v>177</v>
      </c>
      <c r="G45" s="218"/>
      <c r="H45" s="104">
        <v>0</v>
      </c>
      <c r="I45" s="122">
        <v>18000000</v>
      </c>
      <c r="J45" s="104">
        <v>0</v>
      </c>
      <c r="K45" s="105" t="s">
        <v>80</v>
      </c>
    </row>
    <row r="46" spans="2:11" ht="57" customHeight="1" thickBot="1">
      <c r="B46" s="205"/>
      <c r="C46" s="233"/>
      <c r="D46" s="171"/>
      <c r="E46" s="17">
        <v>2014</v>
      </c>
      <c r="F46" s="142" t="s">
        <v>178</v>
      </c>
      <c r="G46" s="219"/>
      <c r="H46" s="104">
        <v>0</v>
      </c>
      <c r="I46" s="106">
        <v>18000000</v>
      </c>
      <c r="J46" s="104">
        <v>0</v>
      </c>
      <c r="K46" s="123" t="s">
        <v>80</v>
      </c>
    </row>
    <row r="47" spans="2:11" ht="42.75" customHeight="1" thickBot="1">
      <c r="B47" s="19"/>
      <c r="C47" s="20"/>
      <c r="D47" s="20"/>
      <c r="E47" s="21"/>
      <c r="F47" s="21"/>
      <c r="G47" s="20"/>
      <c r="H47" s="107">
        <f>SUM(H41:H46)</f>
        <v>0</v>
      </c>
      <c r="I47" s="107">
        <f>SUM(I41:I46)</f>
        <v>107000000</v>
      </c>
      <c r="J47" s="107">
        <f>SUM(J41:J46)</f>
        <v>0</v>
      </c>
      <c r="K47" s="107">
        <f>+H47+I47+J47</f>
        <v>107000000</v>
      </c>
    </row>
    <row r="48" spans="8:11" ht="24" customHeight="1" thickBot="1">
      <c r="H48" s="126"/>
      <c r="I48" s="126"/>
      <c r="J48" s="126"/>
      <c r="K48" s="126"/>
    </row>
    <row r="49" spans="2:11" ht="51.75" customHeight="1" thickBot="1">
      <c r="B49" s="22"/>
      <c r="C49" s="23"/>
      <c r="D49" s="23"/>
      <c r="E49" s="23"/>
      <c r="F49" s="23"/>
      <c r="G49" s="23"/>
      <c r="H49" s="112">
        <f>+H17+H29+H38+H47</f>
        <v>0</v>
      </c>
      <c r="I49" s="112">
        <f>+I17+I29+I38+I47</f>
        <v>1266450000</v>
      </c>
      <c r="J49" s="112">
        <f>+J17+J29+J38+J47</f>
        <v>524000000</v>
      </c>
      <c r="K49" s="112">
        <f>+K17+K29+K38+K47</f>
        <v>1790450000</v>
      </c>
    </row>
  </sheetData>
  <sheetProtection/>
  <mergeCells count="30">
    <mergeCell ref="E40:F40"/>
    <mergeCell ref="B41:B46"/>
    <mergeCell ref="C41:C46"/>
    <mergeCell ref="G41:G46"/>
    <mergeCell ref="C30:K30"/>
    <mergeCell ref="E31:F31"/>
    <mergeCell ref="B32:B37"/>
    <mergeCell ref="C32:C37"/>
    <mergeCell ref="G32:G37"/>
    <mergeCell ref="D41:D46"/>
    <mergeCell ref="C39:K39"/>
    <mergeCell ref="C18:K18"/>
    <mergeCell ref="C19:K19"/>
    <mergeCell ref="C20:K20"/>
    <mergeCell ref="E22:F22"/>
    <mergeCell ref="B23:B28"/>
    <mergeCell ref="C23:C28"/>
    <mergeCell ref="G23:G28"/>
    <mergeCell ref="D23:D28"/>
    <mergeCell ref="D32:D37"/>
    <mergeCell ref="B11:B16"/>
    <mergeCell ref="C11:C16"/>
    <mergeCell ref="G11:G16"/>
    <mergeCell ref="B2:K2"/>
    <mergeCell ref="B5:K5"/>
    <mergeCell ref="C6:K6"/>
    <mergeCell ref="C7:K7"/>
    <mergeCell ref="C8:K8"/>
    <mergeCell ref="E10:F10"/>
    <mergeCell ref="D11:D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showGridLines="0" zoomScale="70" zoomScaleNormal="70" zoomScalePageLayoutView="0" workbookViewId="0" topLeftCell="A1">
      <selection activeCell="L41" sqref="A1:L41"/>
    </sheetView>
  </sheetViews>
  <sheetFormatPr defaultColWidth="11.421875" defaultRowHeight="15"/>
  <cols>
    <col min="1" max="1" width="3.57421875" style="0" customWidth="1"/>
    <col min="2" max="2" width="45.421875" style="0" customWidth="1"/>
    <col min="3" max="3" width="32.7109375" style="0" customWidth="1"/>
    <col min="4" max="4" width="46.421875" style="0" customWidth="1"/>
    <col min="5" max="5" width="11.57421875" style="0" customWidth="1"/>
    <col min="6" max="6" width="39.140625" style="0" customWidth="1"/>
    <col min="7" max="7" width="27.421875" style="0" customWidth="1"/>
    <col min="8" max="11" width="33.57421875" style="0" customWidth="1"/>
    <col min="12" max="12" width="4.421875" style="0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64.5" customHeight="1">
      <c r="B5" s="176" t="s">
        <v>53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2:11" ht="59.25" customHeight="1">
      <c r="B6" s="1" t="s">
        <v>13</v>
      </c>
      <c r="C6" s="234" t="s">
        <v>14</v>
      </c>
      <c r="D6" s="235"/>
      <c r="E6" s="235"/>
      <c r="F6" s="235"/>
      <c r="G6" s="235"/>
      <c r="H6" s="235"/>
      <c r="I6" s="235"/>
      <c r="J6" s="235"/>
      <c r="K6" s="236"/>
    </row>
    <row r="7" spans="2:11" ht="59.25" customHeight="1">
      <c r="B7" s="2" t="s">
        <v>2</v>
      </c>
      <c r="C7" s="237" t="s">
        <v>21</v>
      </c>
      <c r="D7" s="235"/>
      <c r="E7" s="235"/>
      <c r="F7" s="235"/>
      <c r="G7" s="235"/>
      <c r="H7" s="235"/>
      <c r="I7" s="235"/>
      <c r="J7" s="235"/>
      <c r="K7" s="236"/>
    </row>
    <row r="8" spans="2:11" ht="59.25" customHeight="1">
      <c r="B8" s="2" t="s">
        <v>3</v>
      </c>
      <c r="C8" s="237" t="s">
        <v>26</v>
      </c>
      <c r="D8" s="237"/>
      <c r="E8" s="237"/>
      <c r="F8" s="237"/>
      <c r="G8" s="237"/>
      <c r="H8" s="237"/>
      <c r="I8" s="237"/>
      <c r="J8" s="237"/>
      <c r="K8" s="238"/>
    </row>
    <row r="9" spans="2:11" ht="59.25" customHeight="1" thickBot="1">
      <c r="B9" s="3" t="s">
        <v>4</v>
      </c>
      <c r="C9" s="130" t="s">
        <v>27</v>
      </c>
      <c r="D9" s="130"/>
      <c r="E9" s="130"/>
      <c r="F9" s="130"/>
      <c r="G9" s="130"/>
      <c r="H9" s="130"/>
      <c r="I9" s="130"/>
      <c r="J9" s="130"/>
      <c r="K9" s="131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52.5" customHeight="1">
      <c r="B11" s="181" t="s">
        <v>153</v>
      </c>
      <c r="C11" s="222" t="s">
        <v>114</v>
      </c>
      <c r="D11" s="228" t="s">
        <v>157</v>
      </c>
      <c r="E11" s="11" t="s">
        <v>11</v>
      </c>
      <c r="F11" s="12"/>
      <c r="G11" s="217" t="s">
        <v>152</v>
      </c>
      <c r="H11" s="109"/>
      <c r="I11" s="109"/>
      <c r="J11" s="109"/>
      <c r="K11" s="109"/>
    </row>
    <row r="12" spans="2:11" ht="42.75" customHeight="1">
      <c r="B12" s="182"/>
      <c r="C12" s="223"/>
      <c r="D12" s="229"/>
      <c r="E12" s="14">
        <v>2010</v>
      </c>
      <c r="F12" s="100" t="s">
        <v>148</v>
      </c>
      <c r="G12" s="220"/>
      <c r="H12" s="31">
        <v>0</v>
      </c>
      <c r="I12" s="31">
        <v>0</v>
      </c>
      <c r="J12" s="31">
        <v>30000000</v>
      </c>
      <c r="K12" s="114" t="s">
        <v>238</v>
      </c>
    </row>
    <row r="13" spans="2:11" ht="42.75" customHeight="1">
      <c r="B13" s="182"/>
      <c r="C13" s="223"/>
      <c r="D13" s="229"/>
      <c r="E13" s="14">
        <v>2011</v>
      </c>
      <c r="F13" s="100" t="s">
        <v>149</v>
      </c>
      <c r="G13" s="220"/>
      <c r="H13" s="31">
        <v>0</v>
      </c>
      <c r="I13" s="31">
        <v>0</v>
      </c>
      <c r="J13" s="26">
        <v>25000000</v>
      </c>
      <c r="K13" s="114" t="s">
        <v>238</v>
      </c>
    </row>
    <row r="14" spans="2:11" ht="42.75" customHeight="1">
      <c r="B14" s="182"/>
      <c r="C14" s="223"/>
      <c r="D14" s="229"/>
      <c r="E14" s="14">
        <v>2012</v>
      </c>
      <c r="F14" s="100" t="s">
        <v>154</v>
      </c>
      <c r="G14" s="220"/>
      <c r="H14" s="31">
        <v>0</v>
      </c>
      <c r="I14" s="31">
        <v>0</v>
      </c>
      <c r="J14" s="26">
        <v>35000000</v>
      </c>
      <c r="K14" s="114" t="s">
        <v>238</v>
      </c>
    </row>
    <row r="15" spans="2:11" ht="42.75" customHeight="1">
      <c r="B15" s="182"/>
      <c r="C15" s="223"/>
      <c r="D15" s="229"/>
      <c r="E15" s="14">
        <v>2013</v>
      </c>
      <c r="F15" s="100" t="s">
        <v>155</v>
      </c>
      <c r="G15" s="220"/>
      <c r="H15" s="31">
        <v>0</v>
      </c>
      <c r="I15" s="31">
        <v>0</v>
      </c>
      <c r="J15" s="26">
        <v>25000000</v>
      </c>
      <c r="K15" s="114" t="s">
        <v>238</v>
      </c>
    </row>
    <row r="16" spans="2:11" ht="42.75" customHeight="1" thickBot="1">
      <c r="B16" s="183"/>
      <c r="C16" s="224"/>
      <c r="D16" s="230"/>
      <c r="E16" s="17">
        <v>2014</v>
      </c>
      <c r="F16" s="113" t="s">
        <v>156</v>
      </c>
      <c r="G16" s="221"/>
      <c r="H16" s="31">
        <v>0</v>
      </c>
      <c r="I16" s="31">
        <v>0</v>
      </c>
      <c r="J16" s="97">
        <v>30000000</v>
      </c>
      <c r="K16" s="114" t="s">
        <v>238</v>
      </c>
    </row>
    <row r="17" spans="2:11" ht="42.75" customHeight="1" thickBot="1">
      <c r="B17" s="19"/>
      <c r="C17" s="20"/>
      <c r="D17" s="20"/>
      <c r="E17" s="21"/>
      <c r="F17" s="127"/>
      <c r="G17" s="20"/>
      <c r="H17" s="24">
        <f>SUM(H11:H16)</f>
        <v>0</v>
      </c>
      <c r="I17" s="24">
        <f>SUM(I11:I16)</f>
        <v>0</v>
      </c>
      <c r="J17" s="24">
        <f>SUM(J11:J16)</f>
        <v>145000000</v>
      </c>
      <c r="K17" s="24">
        <f>+H17+I17+J17</f>
        <v>145000000</v>
      </c>
    </row>
    <row r="18" spans="2:11" ht="42.75" customHeight="1" thickBot="1">
      <c r="B18" s="3" t="s">
        <v>12</v>
      </c>
      <c r="C18" s="128" t="s">
        <v>29</v>
      </c>
      <c r="D18" s="4"/>
      <c r="E18" s="4"/>
      <c r="F18" s="4"/>
      <c r="G18" s="4"/>
      <c r="H18" s="4"/>
      <c r="I18" s="4"/>
      <c r="J18" s="4"/>
      <c r="K18" s="5"/>
    </row>
    <row r="19" spans="2:11" ht="42.75" customHeight="1" thickBot="1">
      <c r="B19" s="6" t="s">
        <v>5</v>
      </c>
      <c r="C19" s="7" t="s">
        <v>6</v>
      </c>
      <c r="D19" s="8" t="s">
        <v>7</v>
      </c>
      <c r="E19" s="179" t="s">
        <v>8</v>
      </c>
      <c r="F19" s="180"/>
      <c r="G19" s="9" t="s">
        <v>9</v>
      </c>
      <c r="H19" s="53" t="s">
        <v>230</v>
      </c>
      <c r="I19" s="53" t="s">
        <v>229</v>
      </c>
      <c r="J19" s="53" t="s">
        <v>227</v>
      </c>
      <c r="K19" s="10" t="s">
        <v>10</v>
      </c>
    </row>
    <row r="20" spans="2:11" ht="55.5" customHeight="1">
      <c r="B20" s="192" t="s">
        <v>147</v>
      </c>
      <c r="C20" s="195" t="s">
        <v>114</v>
      </c>
      <c r="D20" s="172" t="s">
        <v>158</v>
      </c>
      <c r="E20" s="11" t="s">
        <v>11</v>
      </c>
      <c r="F20" s="12"/>
      <c r="G20" s="217" t="s">
        <v>152</v>
      </c>
      <c r="H20" s="109"/>
      <c r="I20" s="109"/>
      <c r="J20" s="109"/>
      <c r="K20" s="109"/>
    </row>
    <row r="21" spans="2:11" ht="42.75" customHeight="1">
      <c r="B21" s="193"/>
      <c r="C21" s="196"/>
      <c r="D21" s="173"/>
      <c r="E21" s="14">
        <v>2010</v>
      </c>
      <c r="F21" s="100" t="s">
        <v>110</v>
      </c>
      <c r="G21" s="220"/>
      <c r="H21" s="31">
        <v>0</v>
      </c>
      <c r="I21" s="31">
        <v>0</v>
      </c>
      <c r="J21" s="31">
        <v>0</v>
      </c>
      <c r="K21" s="108"/>
    </row>
    <row r="22" spans="2:11" ht="42.75" customHeight="1">
      <c r="B22" s="193"/>
      <c r="C22" s="196"/>
      <c r="D22" s="173"/>
      <c r="E22" s="14">
        <v>2011</v>
      </c>
      <c r="F22" s="100" t="s">
        <v>148</v>
      </c>
      <c r="G22" s="220"/>
      <c r="H22" s="31">
        <v>0</v>
      </c>
      <c r="I22" s="31">
        <v>0</v>
      </c>
      <c r="J22" s="26">
        <v>25000000</v>
      </c>
      <c r="K22" s="114" t="s">
        <v>171</v>
      </c>
    </row>
    <row r="23" spans="2:11" ht="42.75" customHeight="1">
      <c r="B23" s="193"/>
      <c r="C23" s="196"/>
      <c r="D23" s="173"/>
      <c r="E23" s="14">
        <v>2012</v>
      </c>
      <c r="F23" s="100" t="s">
        <v>149</v>
      </c>
      <c r="G23" s="220"/>
      <c r="H23" s="31">
        <v>0</v>
      </c>
      <c r="I23" s="31">
        <v>0</v>
      </c>
      <c r="J23" s="26">
        <v>35000000</v>
      </c>
      <c r="K23" s="114" t="s">
        <v>171</v>
      </c>
    </row>
    <row r="24" spans="2:11" ht="42.75" customHeight="1">
      <c r="B24" s="193"/>
      <c r="C24" s="196"/>
      <c r="D24" s="173"/>
      <c r="E24" s="14">
        <v>2013</v>
      </c>
      <c r="F24" s="100" t="s">
        <v>150</v>
      </c>
      <c r="G24" s="220"/>
      <c r="H24" s="31">
        <v>0</v>
      </c>
      <c r="I24" s="31">
        <v>0</v>
      </c>
      <c r="J24" s="26">
        <v>25000000</v>
      </c>
      <c r="K24" s="114" t="s">
        <v>171</v>
      </c>
    </row>
    <row r="25" spans="2:11" ht="42.75" customHeight="1" thickBot="1">
      <c r="B25" s="194"/>
      <c r="C25" s="197"/>
      <c r="D25" s="174"/>
      <c r="E25" s="17">
        <v>2014</v>
      </c>
      <c r="F25" s="113" t="s">
        <v>151</v>
      </c>
      <c r="G25" s="221"/>
      <c r="H25" s="31">
        <v>0</v>
      </c>
      <c r="I25" s="31">
        <v>0</v>
      </c>
      <c r="J25" s="97">
        <v>35000000</v>
      </c>
      <c r="K25" s="124" t="s">
        <v>171</v>
      </c>
    </row>
    <row r="26" spans="2:11" ht="42.75" customHeight="1" thickBot="1">
      <c r="B26" s="19"/>
      <c r="C26" s="20"/>
      <c r="D26" s="20"/>
      <c r="E26" s="21"/>
      <c r="F26" s="21"/>
      <c r="G26" s="20"/>
      <c r="H26" s="24">
        <f>SUM(H20:H25)</f>
        <v>0</v>
      </c>
      <c r="I26" s="24">
        <f>SUM(I20:I25)</f>
        <v>0</v>
      </c>
      <c r="J26" s="24">
        <f>SUM(J20:J25)</f>
        <v>120000000</v>
      </c>
      <c r="K26" s="24">
        <f>+H26+I26+J26</f>
        <v>120000000</v>
      </c>
    </row>
    <row r="27" spans="2:11" ht="57.75" customHeight="1">
      <c r="B27" s="1" t="s">
        <v>13</v>
      </c>
      <c r="C27" s="239" t="s">
        <v>50</v>
      </c>
      <c r="D27" s="240"/>
      <c r="E27" s="240"/>
      <c r="F27" s="240"/>
      <c r="G27" s="240"/>
      <c r="H27" s="240"/>
      <c r="I27" s="240"/>
      <c r="J27" s="240"/>
      <c r="K27" s="241"/>
    </row>
    <row r="28" spans="2:11" ht="55.5" customHeight="1">
      <c r="B28" s="2" t="s">
        <v>2</v>
      </c>
      <c r="C28" s="242" t="s">
        <v>21</v>
      </c>
      <c r="D28" s="240"/>
      <c r="E28" s="240"/>
      <c r="F28" s="240"/>
      <c r="G28" s="240"/>
      <c r="H28" s="240"/>
      <c r="I28" s="240"/>
      <c r="J28" s="240"/>
      <c r="K28" s="241"/>
    </row>
    <row r="29" spans="2:11" ht="42.75" customHeight="1">
      <c r="B29" s="2" t="s">
        <v>3</v>
      </c>
      <c r="C29" s="242" t="s">
        <v>51</v>
      </c>
      <c r="D29" s="242"/>
      <c r="E29" s="242"/>
      <c r="F29" s="242"/>
      <c r="G29" s="242"/>
      <c r="H29" s="242"/>
      <c r="I29" s="242"/>
      <c r="J29" s="242"/>
      <c r="K29" s="243"/>
    </row>
    <row r="30" spans="2:11" ht="42.75" customHeight="1" thickBot="1">
      <c r="B30" s="3" t="s">
        <v>4</v>
      </c>
      <c r="C30" s="128" t="s">
        <v>52</v>
      </c>
      <c r="D30" s="128"/>
      <c r="E30" s="128"/>
      <c r="F30" s="128"/>
      <c r="G30" s="128"/>
      <c r="H30" s="128"/>
      <c r="I30" s="128"/>
      <c r="J30" s="128"/>
      <c r="K30" s="129"/>
    </row>
    <row r="31" spans="2:11" ht="42.75" customHeight="1" thickBot="1">
      <c r="B31" s="6" t="s">
        <v>5</v>
      </c>
      <c r="C31" s="7" t="s">
        <v>6</v>
      </c>
      <c r="D31" s="8" t="s">
        <v>7</v>
      </c>
      <c r="E31" s="179" t="s">
        <v>8</v>
      </c>
      <c r="F31" s="180"/>
      <c r="G31" s="9" t="s">
        <v>9</v>
      </c>
      <c r="H31" s="53" t="s">
        <v>230</v>
      </c>
      <c r="I31" s="53" t="s">
        <v>229</v>
      </c>
      <c r="J31" s="53" t="s">
        <v>227</v>
      </c>
      <c r="K31" s="10" t="s">
        <v>10</v>
      </c>
    </row>
    <row r="32" spans="2:11" ht="48.75" customHeight="1">
      <c r="B32" s="192" t="s">
        <v>139</v>
      </c>
      <c r="C32" s="195" t="s">
        <v>140</v>
      </c>
      <c r="D32" s="172" t="s">
        <v>141</v>
      </c>
      <c r="E32" s="11" t="s">
        <v>11</v>
      </c>
      <c r="F32" s="12"/>
      <c r="G32" s="225" t="s">
        <v>142</v>
      </c>
      <c r="H32" s="13"/>
      <c r="I32" s="13"/>
      <c r="J32" s="13"/>
      <c r="K32" s="13"/>
    </row>
    <row r="33" spans="2:11" ht="42.75" customHeight="1">
      <c r="B33" s="193"/>
      <c r="C33" s="196"/>
      <c r="D33" s="173"/>
      <c r="E33" s="14">
        <v>2010</v>
      </c>
      <c r="F33" s="100" t="s">
        <v>117</v>
      </c>
      <c r="G33" s="226"/>
      <c r="H33" s="115">
        <v>5000000</v>
      </c>
      <c r="I33" s="115">
        <v>0</v>
      </c>
      <c r="J33" s="115">
        <v>0</v>
      </c>
      <c r="K33" s="116" t="s">
        <v>143</v>
      </c>
    </row>
    <row r="34" spans="2:11" ht="42.75" customHeight="1">
      <c r="B34" s="193"/>
      <c r="C34" s="196"/>
      <c r="D34" s="173"/>
      <c r="E34" s="14">
        <v>2011</v>
      </c>
      <c r="F34" s="100" t="s">
        <v>144</v>
      </c>
      <c r="G34" s="226"/>
      <c r="H34" s="115">
        <v>5000000</v>
      </c>
      <c r="I34" s="115">
        <v>0</v>
      </c>
      <c r="J34" s="115">
        <v>0</v>
      </c>
      <c r="K34" s="116" t="s">
        <v>143</v>
      </c>
    </row>
    <row r="35" spans="2:11" ht="42.75" customHeight="1">
      <c r="B35" s="193"/>
      <c r="C35" s="196"/>
      <c r="D35" s="173"/>
      <c r="E35" s="14">
        <v>2012</v>
      </c>
      <c r="F35" s="100" t="s">
        <v>145</v>
      </c>
      <c r="G35" s="226"/>
      <c r="H35" s="115">
        <v>5000000</v>
      </c>
      <c r="I35" s="115">
        <v>0</v>
      </c>
      <c r="J35" s="115">
        <v>0</v>
      </c>
      <c r="K35" s="116" t="s">
        <v>143</v>
      </c>
    </row>
    <row r="36" spans="2:11" ht="42.75" customHeight="1">
      <c r="B36" s="193"/>
      <c r="C36" s="196"/>
      <c r="D36" s="173"/>
      <c r="E36" s="14">
        <v>2013</v>
      </c>
      <c r="F36" s="100" t="s">
        <v>146</v>
      </c>
      <c r="G36" s="226"/>
      <c r="H36" s="115">
        <v>5000000</v>
      </c>
      <c r="I36" s="115">
        <v>0</v>
      </c>
      <c r="J36" s="115">
        <v>0</v>
      </c>
      <c r="K36" s="116" t="s">
        <v>143</v>
      </c>
    </row>
    <row r="37" spans="2:11" ht="42.75" customHeight="1" thickBot="1">
      <c r="B37" s="194"/>
      <c r="C37" s="197"/>
      <c r="D37" s="174"/>
      <c r="E37" s="17">
        <v>2014</v>
      </c>
      <c r="F37" s="100" t="s">
        <v>146</v>
      </c>
      <c r="G37" s="227"/>
      <c r="H37" s="118">
        <v>2000000</v>
      </c>
      <c r="I37" s="115">
        <v>0</v>
      </c>
      <c r="J37" s="115">
        <v>0</v>
      </c>
      <c r="K37" s="119" t="s">
        <v>143</v>
      </c>
    </row>
    <row r="38" spans="2:11" ht="42.75" customHeight="1" thickBot="1">
      <c r="B38" s="19"/>
      <c r="C38" s="20"/>
      <c r="D38" s="20"/>
      <c r="E38" s="20"/>
      <c r="F38" s="20"/>
      <c r="G38" s="20"/>
      <c r="H38" s="120">
        <f>SUM(H32:H37)</f>
        <v>22000000</v>
      </c>
      <c r="I38" s="120">
        <f>SUM(I32:I37)</f>
        <v>0</v>
      </c>
      <c r="J38" s="120">
        <f>SUM(J32:J37)</f>
        <v>0</v>
      </c>
      <c r="K38" s="120">
        <f>+H38+I38+J38</f>
        <v>22000000</v>
      </c>
    </row>
    <row r="39" spans="8:11" ht="24" customHeight="1" thickBot="1">
      <c r="H39" s="125"/>
      <c r="I39" s="125"/>
      <c r="J39" s="125"/>
      <c r="K39" s="125"/>
    </row>
    <row r="40" spans="2:11" ht="51.75" customHeight="1" thickBot="1">
      <c r="B40" s="22"/>
      <c r="C40" s="23"/>
      <c r="D40" s="23"/>
      <c r="E40" s="23"/>
      <c r="F40" s="23"/>
      <c r="G40" s="23"/>
      <c r="H40" s="25">
        <f>+H17+H26+H38</f>
        <v>22000000</v>
      </c>
      <c r="I40" s="25">
        <f>+I17+I26+I38</f>
        <v>0</v>
      </c>
      <c r="J40" s="25">
        <f>+J17+J26+J38</f>
        <v>265000000</v>
      </c>
      <c r="K40" s="25">
        <f>+K17+K26+K38</f>
        <v>287000000</v>
      </c>
    </row>
  </sheetData>
  <sheetProtection/>
  <mergeCells count="23">
    <mergeCell ref="C27:K27"/>
    <mergeCell ref="C28:K28"/>
    <mergeCell ref="C29:K29"/>
    <mergeCell ref="E31:F31"/>
    <mergeCell ref="B32:B37"/>
    <mergeCell ref="C32:C37"/>
    <mergeCell ref="G32:G37"/>
    <mergeCell ref="D32:D37"/>
    <mergeCell ref="B11:B16"/>
    <mergeCell ref="C11:C16"/>
    <mergeCell ref="G11:G16"/>
    <mergeCell ref="E19:F19"/>
    <mergeCell ref="B20:B25"/>
    <mergeCell ref="C20:C25"/>
    <mergeCell ref="G20:G25"/>
    <mergeCell ref="D11:D16"/>
    <mergeCell ref="D20:D25"/>
    <mergeCell ref="E10:F10"/>
    <mergeCell ref="B2:K2"/>
    <mergeCell ref="B5:K5"/>
    <mergeCell ref="C6:K6"/>
    <mergeCell ref="C7:K7"/>
    <mergeCell ref="C8:K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="70" zoomScaleNormal="70" zoomScalePageLayoutView="0" workbookViewId="0" topLeftCell="A1">
      <selection activeCell="L21" sqref="A1:L21"/>
    </sheetView>
  </sheetViews>
  <sheetFormatPr defaultColWidth="11.421875" defaultRowHeight="15"/>
  <cols>
    <col min="1" max="1" width="3.57421875" style="0" customWidth="1"/>
    <col min="2" max="2" width="62.00390625" style="0" customWidth="1"/>
    <col min="3" max="3" width="31.140625" style="0" customWidth="1"/>
    <col min="4" max="4" width="46.421875" style="0" customWidth="1"/>
    <col min="5" max="5" width="11.57421875" style="0" customWidth="1"/>
    <col min="6" max="6" width="36.7109375" style="0" customWidth="1"/>
    <col min="7" max="7" width="27.421875" style="0" customWidth="1"/>
    <col min="8" max="8" width="40.28125" style="0" customWidth="1"/>
    <col min="9" max="10" width="33.57421875" style="0" customWidth="1"/>
    <col min="11" max="11" width="37.140625" style="0" customWidth="1"/>
    <col min="12" max="12" width="4.421875" style="0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82.5" customHeight="1">
      <c r="B5" s="247" t="s">
        <v>54</v>
      </c>
      <c r="C5" s="248"/>
      <c r="D5" s="248"/>
      <c r="E5" s="248"/>
      <c r="F5" s="248"/>
      <c r="G5" s="248"/>
      <c r="H5" s="248"/>
      <c r="I5" s="248"/>
      <c r="J5" s="248"/>
      <c r="K5" s="249"/>
    </row>
    <row r="6" spans="2:11" ht="59.25" customHeight="1">
      <c r="B6" s="154" t="s">
        <v>13</v>
      </c>
      <c r="C6" s="250" t="s">
        <v>55</v>
      </c>
      <c r="D6" s="251"/>
      <c r="E6" s="251"/>
      <c r="F6" s="251"/>
      <c r="G6" s="251"/>
      <c r="H6" s="251"/>
      <c r="I6" s="251"/>
      <c r="J6" s="251"/>
      <c r="K6" s="252"/>
    </row>
    <row r="7" spans="2:11" ht="59.25" customHeight="1">
      <c r="B7" s="155" t="s">
        <v>2</v>
      </c>
      <c r="C7" s="253" t="s">
        <v>21</v>
      </c>
      <c r="D7" s="251"/>
      <c r="E7" s="251"/>
      <c r="F7" s="251"/>
      <c r="G7" s="251"/>
      <c r="H7" s="251"/>
      <c r="I7" s="251"/>
      <c r="J7" s="251"/>
      <c r="K7" s="252"/>
    </row>
    <row r="8" spans="2:11" ht="59.25" customHeight="1">
      <c r="B8" s="155" t="s">
        <v>3</v>
      </c>
      <c r="C8" s="253" t="s">
        <v>56</v>
      </c>
      <c r="D8" s="253"/>
      <c r="E8" s="253"/>
      <c r="F8" s="253"/>
      <c r="G8" s="253"/>
      <c r="H8" s="253"/>
      <c r="I8" s="253"/>
      <c r="J8" s="253"/>
      <c r="K8" s="254"/>
    </row>
    <row r="9" spans="2:11" ht="59.25" customHeight="1" thickBot="1">
      <c r="B9" s="156" t="s">
        <v>4</v>
      </c>
      <c r="C9" s="145" t="s">
        <v>57</v>
      </c>
      <c r="D9" s="145"/>
      <c r="E9" s="145"/>
      <c r="F9" s="145"/>
      <c r="G9" s="145"/>
      <c r="H9" s="145"/>
      <c r="I9" s="145"/>
      <c r="J9" s="145"/>
      <c r="K9" s="146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63" customHeight="1">
      <c r="B11" s="244" t="s">
        <v>58</v>
      </c>
      <c r="C11" s="195" t="s">
        <v>114</v>
      </c>
      <c r="D11" s="255" t="s">
        <v>182</v>
      </c>
      <c r="E11" s="151" t="s">
        <v>11</v>
      </c>
      <c r="F11" s="148" t="s">
        <v>115</v>
      </c>
      <c r="G11" s="198" t="s">
        <v>216</v>
      </c>
      <c r="H11" s="121"/>
      <c r="I11" s="121"/>
      <c r="J11" s="121"/>
      <c r="K11" s="121"/>
    </row>
    <row r="12" spans="2:11" ht="42.75" customHeight="1">
      <c r="B12" s="245"/>
      <c r="C12" s="196"/>
      <c r="D12" s="256"/>
      <c r="E12" s="152">
        <v>2010</v>
      </c>
      <c r="F12" s="149" t="s">
        <v>116</v>
      </c>
      <c r="G12" s="199"/>
      <c r="H12" s="104">
        <f>5*1800000*1.61*3</f>
        <v>43470000</v>
      </c>
      <c r="I12" s="104">
        <v>15000000</v>
      </c>
      <c r="J12" s="104">
        <v>0</v>
      </c>
      <c r="K12" s="105" t="s">
        <v>80</v>
      </c>
    </row>
    <row r="13" spans="2:11" ht="42.75" customHeight="1">
      <c r="B13" s="245"/>
      <c r="C13" s="196"/>
      <c r="D13" s="256"/>
      <c r="E13" s="152">
        <v>2011</v>
      </c>
      <c r="F13" s="149" t="s">
        <v>117</v>
      </c>
      <c r="G13" s="199"/>
      <c r="H13" s="104">
        <f>5*1800000*1.61*3</f>
        <v>43470000</v>
      </c>
      <c r="I13" s="104">
        <v>15000000</v>
      </c>
      <c r="J13" s="104">
        <v>0</v>
      </c>
      <c r="K13" s="105" t="s">
        <v>80</v>
      </c>
    </row>
    <row r="14" spans="2:11" ht="42.75" customHeight="1">
      <c r="B14" s="245"/>
      <c r="C14" s="196"/>
      <c r="D14" s="256"/>
      <c r="E14" s="152">
        <v>2012</v>
      </c>
      <c r="F14" s="149" t="s">
        <v>118</v>
      </c>
      <c r="G14" s="199"/>
      <c r="H14" s="104">
        <f>4*1800000*1.61*3</f>
        <v>34776000</v>
      </c>
      <c r="I14" s="104">
        <v>15000000</v>
      </c>
      <c r="J14" s="104">
        <v>0</v>
      </c>
      <c r="K14" s="105" t="s">
        <v>80</v>
      </c>
    </row>
    <row r="15" spans="2:11" ht="42.75" customHeight="1">
      <c r="B15" s="245"/>
      <c r="C15" s="196"/>
      <c r="D15" s="256"/>
      <c r="E15" s="152">
        <v>2013</v>
      </c>
      <c r="F15" s="149" t="s">
        <v>119</v>
      </c>
      <c r="G15" s="199"/>
      <c r="H15" s="104">
        <f>4*1800000*1.61*3</f>
        <v>34776000</v>
      </c>
      <c r="I15" s="104">
        <v>15000000</v>
      </c>
      <c r="J15" s="104">
        <v>0</v>
      </c>
      <c r="K15" s="105" t="s">
        <v>80</v>
      </c>
    </row>
    <row r="16" spans="2:11" ht="42.75" customHeight="1" thickBot="1">
      <c r="B16" s="246"/>
      <c r="C16" s="197"/>
      <c r="D16" s="257"/>
      <c r="E16" s="153">
        <v>2014</v>
      </c>
      <c r="F16" s="150" t="s">
        <v>120</v>
      </c>
      <c r="G16" s="200"/>
      <c r="H16" s="104">
        <f>3*1800000*1.61*3</f>
        <v>26082000</v>
      </c>
      <c r="I16" s="104">
        <v>15000000</v>
      </c>
      <c r="J16" s="104">
        <v>0</v>
      </c>
      <c r="K16" s="123" t="s">
        <v>80</v>
      </c>
    </row>
    <row r="17" spans="2:11" ht="42.75" customHeight="1" thickBot="1">
      <c r="B17" s="19"/>
      <c r="C17" s="20"/>
      <c r="D17" s="20"/>
      <c r="E17" s="21"/>
      <c r="F17" s="21"/>
      <c r="G17" s="20"/>
      <c r="H17" s="107">
        <f>SUM(H11:H16)</f>
        <v>182574000</v>
      </c>
      <c r="I17" s="107">
        <f>SUM(I11:I16)</f>
        <v>75000000</v>
      </c>
      <c r="J17" s="107">
        <f>SUM(J11:J16)</f>
        <v>0</v>
      </c>
      <c r="K17" s="107">
        <f>+H17+I17+J17</f>
        <v>257574000</v>
      </c>
    </row>
    <row r="18" spans="8:11" ht="24" customHeight="1" thickBot="1">
      <c r="H18" s="126"/>
      <c r="I18" s="126"/>
      <c r="J18" s="126"/>
      <c r="K18" s="126"/>
    </row>
    <row r="19" spans="2:11" ht="51.75" customHeight="1" thickBot="1">
      <c r="B19" s="22"/>
      <c r="C19" s="23"/>
      <c r="D19" s="23"/>
      <c r="E19" s="23"/>
      <c r="F19" s="23"/>
      <c r="G19" s="23"/>
      <c r="H19" s="112">
        <f>+H17</f>
        <v>182574000</v>
      </c>
      <c r="I19" s="112">
        <f>+I17</f>
        <v>75000000</v>
      </c>
      <c r="J19" s="112">
        <f>+J17</f>
        <v>0</v>
      </c>
      <c r="K19" s="112">
        <f>+K17</f>
        <v>257574000</v>
      </c>
    </row>
  </sheetData>
  <sheetProtection/>
  <mergeCells count="10">
    <mergeCell ref="B11:B16"/>
    <mergeCell ref="C11:C16"/>
    <mergeCell ref="G11:G16"/>
    <mergeCell ref="B2:K2"/>
    <mergeCell ref="B5:K5"/>
    <mergeCell ref="C6:K6"/>
    <mergeCell ref="C7:K7"/>
    <mergeCell ref="C8:K8"/>
    <mergeCell ref="E10:F10"/>
    <mergeCell ref="D11:D1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showGridLines="0" tabSelected="1" zoomScale="70" zoomScaleNormal="70" zoomScalePageLayoutView="0" workbookViewId="0" topLeftCell="A1">
      <selection activeCell="L38" sqref="A1:L38"/>
    </sheetView>
  </sheetViews>
  <sheetFormatPr defaultColWidth="11.421875" defaultRowHeight="15"/>
  <cols>
    <col min="1" max="1" width="3.57421875" style="0" customWidth="1"/>
    <col min="2" max="2" width="62.57421875" style="0" customWidth="1"/>
    <col min="3" max="3" width="31.140625" style="0" customWidth="1"/>
    <col min="4" max="4" width="46.421875" style="0" customWidth="1"/>
    <col min="5" max="5" width="11.57421875" style="0" customWidth="1"/>
    <col min="6" max="6" width="53.00390625" style="0" customWidth="1"/>
    <col min="7" max="7" width="27.421875" style="0" customWidth="1"/>
    <col min="8" max="8" width="36.28125" style="0" customWidth="1"/>
    <col min="9" max="9" width="44.00390625" style="0" customWidth="1"/>
    <col min="10" max="10" width="45.421875" style="0" customWidth="1"/>
    <col min="11" max="11" width="38.28125" style="0" customWidth="1"/>
    <col min="12" max="12" width="4.421875" style="0" customWidth="1"/>
  </cols>
  <sheetData>
    <row r="2" spans="2:11" ht="4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</row>
    <row r="5" spans="2:11" ht="82.5" customHeight="1">
      <c r="B5" s="258" t="s">
        <v>59</v>
      </c>
      <c r="C5" s="259"/>
      <c r="D5" s="259"/>
      <c r="E5" s="259"/>
      <c r="F5" s="259"/>
      <c r="G5" s="259"/>
      <c r="H5" s="259"/>
      <c r="I5" s="259"/>
      <c r="J5" s="259"/>
      <c r="K5" s="260"/>
    </row>
    <row r="6" spans="2:11" ht="59.25" customHeight="1">
      <c r="B6" s="154" t="s">
        <v>13</v>
      </c>
      <c r="C6" s="239" t="s">
        <v>50</v>
      </c>
      <c r="D6" s="240"/>
      <c r="E6" s="240"/>
      <c r="F6" s="240"/>
      <c r="G6" s="240"/>
      <c r="H6" s="240"/>
      <c r="I6" s="240"/>
      <c r="J6" s="240"/>
      <c r="K6" s="241"/>
    </row>
    <row r="7" spans="2:11" ht="59.25" customHeight="1">
      <c r="B7" s="155" t="s">
        <v>2</v>
      </c>
      <c r="C7" s="242" t="s">
        <v>15</v>
      </c>
      <c r="D7" s="240"/>
      <c r="E7" s="240"/>
      <c r="F7" s="240"/>
      <c r="G7" s="240"/>
      <c r="H7" s="240"/>
      <c r="I7" s="240"/>
      <c r="J7" s="240"/>
      <c r="K7" s="241"/>
    </row>
    <row r="8" spans="2:11" ht="59.25" customHeight="1">
      <c r="B8" s="155" t="s">
        <v>3</v>
      </c>
      <c r="C8" s="242" t="s">
        <v>60</v>
      </c>
      <c r="D8" s="242"/>
      <c r="E8" s="242"/>
      <c r="F8" s="242"/>
      <c r="G8" s="242"/>
      <c r="H8" s="242"/>
      <c r="I8" s="242"/>
      <c r="J8" s="242"/>
      <c r="K8" s="243"/>
    </row>
    <row r="9" spans="2:11" ht="59.25" customHeight="1" thickBot="1">
      <c r="B9" s="156" t="s">
        <v>4</v>
      </c>
      <c r="C9" s="128" t="s">
        <v>61</v>
      </c>
      <c r="D9" s="128"/>
      <c r="E9" s="128"/>
      <c r="F9" s="128"/>
      <c r="G9" s="128"/>
      <c r="H9" s="128"/>
      <c r="I9" s="128"/>
      <c r="J9" s="128"/>
      <c r="K9" s="129"/>
    </row>
    <row r="10" spans="2:11" ht="42.75" customHeight="1" thickBot="1">
      <c r="B10" s="6" t="s">
        <v>5</v>
      </c>
      <c r="C10" s="7" t="s">
        <v>6</v>
      </c>
      <c r="D10" s="8" t="s">
        <v>7</v>
      </c>
      <c r="E10" s="179" t="s">
        <v>8</v>
      </c>
      <c r="F10" s="180"/>
      <c r="G10" s="9" t="s">
        <v>9</v>
      </c>
      <c r="H10" s="53" t="s">
        <v>230</v>
      </c>
      <c r="I10" s="53" t="s">
        <v>229</v>
      </c>
      <c r="J10" s="53" t="s">
        <v>227</v>
      </c>
      <c r="K10" s="10" t="s">
        <v>10</v>
      </c>
    </row>
    <row r="11" spans="2:11" ht="52.5" customHeight="1">
      <c r="B11" s="181" t="s">
        <v>62</v>
      </c>
      <c r="C11" s="222" t="s">
        <v>86</v>
      </c>
      <c r="D11" s="228" t="s">
        <v>183</v>
      </c>
      <c r="E11" s="11" t="s">
        <v>11</v>
      </c>
      <c r="F11" s="162" t="s">
        <v>87</v>
      </c>
      <c r="G11" s="217" t="s">
        <v>93</v>
      </c>
      <c r="H11" s="13"/>
      <c r="I11" s="13"/>
      <c r="J11" s="13"/>
      <c r="K11" s="13"/>
    </row>
    <row r="12" spans="2:11" ht="42.75" customHeight="1">
      <c r="B12" s="182"/>
      <c r="C12" s="223"/>
      <c r="D12" s="229"/>
      <c r="E12" s="14">
        <v>2010</v>
      </c>
      <c r="F12" s="163" t="s">
        <v>88</v>
      </c>
      <c r="G12" s="218"/>
      <c r="H12" s="104">
        <f>1*1800000*12*1.45/2</f>
        <v>15660000</v>
      </c>
      <c r="I12" s="104">
        <v>0</v>
      </c>
      <c r="J12" s="104">
        <v>0</v>
      </c>
      <c r="K12" s="105" t="s">
        <v>80</v>
      </c>
    </row>
    <row r="13" spans="2:11" ht="42.75" customHeight="1">
      <c r="B13" s="182"/>
      <c r="C13" s="223"/>
      <c r="D13" s="229"/>
      <c r="E13" s="14">
        <v>2011</v>
      </c>
      <c r="F13" s="164" t="s">
        <v>89</v>
      </c>
      <c r="G13" s="218"/>
      <c r="H13" s="104">
        <f>1*1800000*12*1.45/2</f>
        <v>15660000</v>
      </c>
      <c r="I13" s="104">
        <v>0</v>
      </c>
      <c r="J13" s="104">
        <v>0</v>
      </c>
      <c r="K13" s="105" t="s">
        <v>80</v>
      </c>
    </row>
    <row r="14" spans="2:11" ht="42.75" customHeight="1">
      <c r="B14" s="182"/>
      <c r="C14" s="223"/>
      <c r="D14" s="229"/>
      <c r="E14" s="14">
        <v>2012</v>
      </c>
      <c r="F14" s="164" t="s">
        <v>90</v>
      </c>
      <c r="G14" s="218"/>
      <c r="H14" s="104">
        <f>0.75*1800000*12*1.45/2</f>
        <v>11745000</v>
      </c>
      <c r="I14" s="104">
        <v>0</v>
      </c>
      <c r="J14" s="104">
        <v>0</v>
      </c>
      <c r="K14" s="105" t="s">
        <v>80</v>
      </c>
    </row>
    <row r="15" spans="2:11" ht="42.75" customHeight="1">
      <c r="B15" s="182"/>
      <c r="C15" s="223"/>
      <c r="D15" s="229"/>
      <c r="E15" s="14">
        <v>2013</v>
      </c>
      <c r="F15" s="164" t="s">
        <v>91</v>
      </c>
      <c r="G15" s="218"/>
      <c r="H15" s="104">
        <f>0.75*1800000*12*1.45/2</f>
        <v>11745000</v>
      </c>
      <c r="I15" s="104">
        <v>0</v>
      </c>
      <c r="J15" s="104">
        <v>0</v>
      </c>
      <c r="K15" s="105" t="s">
        <v>80</v>
      </c>
    </row>
    <row r="16" spans="2:11" ht="42.75" customHeight="1" thickBot="1">
      <c r="B16" s="183"/>
      <c r="C16" s="224"/>
      <c r="D16" s="230"/>
      <c r="E16" s="17">
        <v>2014</v>
      </c>
      <c r="F16" s="165" t="s">
        <v>92</v>
      </c>
      <c r="G16" s="219"/>
      <c r="H16" s="104">
        <f>0.5*1800000*12*1.45/2</f>
        <v>7830000</v>
      </c>
      <c r="I16" s="104">
        <v>0</v>
      </c>
      <c r="J16" s="104">
        <v>0</v>
      </c>
      <c r="K16" s="105" t="s">
        <v>80</v>
      </c>
    </row>
    <row r="17" spans="2:11" ht="42.75" customHeight="1" thickBot="1">
      <c r="B17" s="19"/>
      <c r="C17" s="20"/>
      <c r="D17" s="20"/>
      <c r="E17" s="21"/>
      <c r="F17" s="21"/>
      <c r="G17" s="20"/>
      <c r="H17" s="107">
        <f>SUM(H11:H16)</f>
        <v>62640000</v>
      </c>
      <c r="I17" s="107">
        <f>SUM(I11:I16)</f>
        <v>0</v>
      </c>
      <c r="J17" s="107">
        <f>SUM(J11:J16)</f>
        <v>0</v>
      </c>
      <c r="K17" s="107">
        <f>+H17+I17+J17</f>
        <v>62640000</v>
      </c>
    </row>
    <row r="18" spans="2:11" ht="42.75" customHeight="1" thickBot="1">
      <c r="B18" s="3" t="s">
        <v>12</v>
      </c>
      <c r="C18" s="4" t="s">
        <v>52</v>
      </c>
      <c r="D18" s="4"/>
      <c r="E18" s="4"/>
      <c r="F18" s="4"/>
      <c r="G18" s="4"/>
      <c r="H18" s="4"/>
      <c r="I18" s="4"/>
      <c r="J18" s="4"/>
      <c r="K18" s="5"/>
    </row>
    <row r="19" spans="2:11" ht="42.75" customHeight="1" thickBot="1">
      <c r="B19" s="6" t="s">
        <v>5</v>
      </c>
      <c r="C19" s="7" t="s">
        <v>6</v>
      </c>
      <c r="D19" s="8" t="s">
        <v>7</v>
      </c>
      <c r="E19" s="179" t="s">
        <v>8</v>
      </c>
      <c r="F19" s="180"/>
      <c r="G19" s="9" t="s">
        <v>9</v>
      </c>
      <c r="H19" s="53" t="s">
        <v>230</v>
      </c>
      <c r="I19" s="53" t="s">
        <v>229</v>
      </c>
      <c r="J19" s="53" t="s">
        <v>227</v>
      </c>
      <c r="K19" s="10" t="s">
        <v>10</v>
      </c>
    </row>
    <row r="20" spans="2:11" ht="57.75" customHeight="1">
      <c r="B20" s="192" t="s">
        <v>63</v>
      </c>
      <c r="C20" s="195" t="s">
        <v>94</v>
      </c>
      <c r="D20" s="166" t="s">
        <v>95</v>
      </c>
      <c r="E20" s="11" t="s">
        <v>11</v>
      </c>
      <c r="F20" s="161" t="s">
        <v>103</v>
      </c>
      <c r="G20" s="217" t="s">
        <v>100</v>
      </c>
      <c r="H20" s="13"/>
      <c r="I20" s="13"/>
      <c r="J20" s="13"/>
      <c r="K20" s="13"/>
    </row>
    <row r="21" spans="2:11" ht="93">
      <c r="B21" s="193"/>
      <c r="C21" s="196"/>
      <c r="D21" s="167" t="s">
        <v>96</v>
      </c>
      <c r="E21" s="14">
        <v>2010</v>
      </c>
      <c r="F21" s="158" t="s">
        <v>104</v>
      </c>
      <c r="G21" s="218"/>
      <c r="H21" s="115">
        <f>300000000+100000000</f>
        <v>400000000</v>
      </c>
      <c r="I21" s="115">
        <v>0</v>
      </c>
      <c r="J21" s="115">
        <v>0</v>
      </c>
      <c r="K21" s="157" t="s">
        <v>228</v>
      </c>
    </row>
    <row r="22" spans="2:11" ht="93">
      <c r="B22" s="193"/>
      <c r="C22" s="196"/>
      <c r="D22" s="167" t="s">
        <v>97</v>
      </c>
      <c r="E22" s="14">
        <v>2011</v>
      </c>
      <c r="F22" s="159" t="s">
        <v>105</v>
      </c>
      <c r="G22" s="218"/>
      <c r="H22" s="115">
        <f>10000000*4+100000000</f>
        <v>140000000</v>
      </c>
      <c r="I22" s="115">
        <f>1800000*300+25000000</f>
        <v>565000000</v>
      </c>
      <c r="J22" s="115">
        <f>10000000*2+75000000</f>
        <v>95000000</v>
      </c>
      <c r="K22" s="157" t="s">
        <v>101</v>
      </c>
    </row>
    <row r="23" spans="2:11" ht="69.75">
      <c r="B23" s="193"/>
      <c r="C23" s="196"/>
      <c r="D23" s="167" t="s">
        <v>98</v>
      </c>
      <c r="E23" s="14">
        <v>2012</v>
      </c>
      <c r="F23" s="159" t="s">
        <v>106</v>
      </c>
      <c r="G23" s="218"/>
      <c r="H23" s="115">
        <v>100000000</v>
      </c>
      <c r="I23" s="115">
        <f>1800000*100+25000000</f>
        <v>205000000</v>
      </c>
      <c r="J23" s="115">
        <f>15000000+100000000+10000000*12</f>
        <v>235000000</v>
      </c>
      <c r="K23" s="157" t="s">
        <v>101</v>
      </c>
    </row>
    <row r="24" spans="2:11" ht="69.75">
      <c r="B24" s="193"/>
      <c r="C24" s="196"/>
      <c r="D24" s="167" t="s">
        <v>99</v>
      </c>
      <c r="E24" s="14">
        <v>2013</v>
      </c>
      <c r="F24" s="159" t="s">
        <v>107</v>
      </c>
      <c r="G24" s="218"/>
      <c r="H24" s="115">
        <v>100000000</v>
      </c>
      <c r="I24" s="115">
        <f>1800000*100+25000000</f>
        <v>205000000</v>
      </c>
      <c r="J24" s="115">
        <f>10000000*2+10000000*12</f>
        <v>140000000</v>
      </c>
      <c r="K24" s="157" t="s">
        <v>101</v>
      </c>
    </row>
    <row r="25" spans="2:11" ht="70.5" thickBot="1">
      <c r="B25" s="194"/>
      <c r="C25" s="197"/>
      <c r="D25" s="168"/>
      <c r="E25" s="17">
        <v>2014</v>
      </c>
      <c r="F25" s="160" t="s">
        <v>108</v>
      </c>
      <c r="G25" s="219"/>
      <c r="H25" s="115">
        <v>100000000</v>
      </c>
      <c r="I25" s="115">
        <f>1800000*100+25000000</f>
        <v>205000000</v>
      </c>
      <c r="J25" s="115">
        <f>10000000*12</f>
        <v>120000000</v>
      </c>
      <c r="K25" s="157" t="s">
        <v>101</v>
      </c>
    </row>
    <row r="26" spans="2:11" ht="42.75" customHeight="1" thickBot="1">
      <c r="B26" s="19"/>
      <c r="C26" s="20"/>
      <c r="D26" s="20"/>
      <c r="E26" s="21"/>
      <c r="F26" s="21"/>
      <c r="G26" s="20"/>
      <c r="H26" s="24">
        <f>SUM(H20:H25)</f>
        <v>840000000</v>
      </c>
      <c r="I26" s="24">
        <f>SUM(I20:I25)</f>
        <v>1180000000</v>
      </c>
      <c r="J26" s="24">
        <f>SUM(J20:J25)</f>
        <v>590000000</v>
      </c>
      <c r="K26" s="24">
        <f>+H26+I26+J26</f>
        <v>2610000000</v>
      </c>
    </row>
    <row r="27" spans="2:11" ht="42.75" customHeight="1" thickBot="1">
      <c r="B27" s="3" t="s">
        <v>46</v>
      </c>
      <c r="C27" s="4" t="s">
        <v>102</v>
      </c>
      <c r="D27" s="4"/>
      <c r="E27" s="4"/>
      <c r="F27" s="4"/>
      <c r="G27" s="4"/>
      <c r="H27" s="4"/>
      <c r="I27" s="4"/>
      <c r="J27" s="4"/>
      <c r="K27" s="5"/>
    </row>
    <row r="28" spans="2:11" ht="42.75" customHeight="1" thickBot="1">
      <c r="B28" s="6" t="s">
        <v>5</v>
      </c>
      <c r="C28" s="7" t="s">
        <v>6</v>
      </c>
      <c r="D28" s="8" t="s">
        <v>7</v>
      </c>
      <c r="E28" s="179" t="s">
        <v>8</v>
      </c>
      <c r="F28" s="180"/>
      <c r="G28" s="9" t="s">
        <v>9</v>
      </c>
      <c r="H28" s="53" t="s">
        <v>230</v>
      </c>
      <c r="I28" s="53" t="s">
        <v>229</v>
      </c>
      <c r="J28" s="53" t="s">
        <v>227</v>
      </c>
      <c r="K28" s="10" t="s">
        <v>10</v>
      </c>
    </row>
    <row r="29" spans="2:11" ht="45.75">
      <c r="B29" s="181" t="s">
        <v>221</v>
      </c>
      <c r="C29" s="231" t="s">
        <v>220</v>
      </c>
      <c r="D29" s="228" t="s">
        <v>222</v>
      </c>
      <c r="E29" s="11" t="s">
        <v>11</v>
      </c>
      <c r="F29" s="102" t="s">
        <v>218</v>
      </c>
      <c r="G29" s="217" t="s">
        <v>217</v>
      </c>
      <c r="H29" s="13"/>
      <c r="I29" s="13"/>
      <c r="J29" s="13"/>
      <c r="K29" s="13"/>
    </row>
    <row r="30" spans="2:11" ht="69.75">
      <c r="B30" s="182"/>
      <c r="C30" s="232"/>
      <c r="D30" s="229"/>
      <c r="E30" s="14">
        <v>2010</v>
      </c>
      <c r="F30" s="103" t="s">
        <v>226</v>
      </c>
      <c r="G30" s="218"/>
      <c r="H30" s="115">
        <v>0</v>
      </c>
      <c r="I30" s="115">
        <f>2000000*12*1.61+15*300*2000*1.16</f>
        <v>49080000</v>
      </c>
      <c r="J30" s="115">
        <f>20000000+10000000+1200000*1.61*12</f>
        <v>53184000</v>
      </c>
      <c r="K30" s="117" t="s">
        <v>101</v>
      </c>
    </row>
    <row r="31" spans="2:11" ht="69.75">
      <c r="B31" s="182"/>
      <c r="C31" s="232"/>
      <c r="D31" s="229"/>
      <c r="E31" s="14">
        <v>2011</v>
      </c>
      <c r="F31" s="103" t="s">
        <v>225</v>
      </c>
      <c r="G31" s="218"/>
      <c r="H31" s="115">
        <v>0</v>
      </c>
      <c r="I31" s="115">
        <f>100*1900000*1.15+2000000*12*1.61+15*300*2000*1.16+10000000</f>
        <v>277580000</v>
      </c>
      <c r="J31" s="115">
        <f>1200000*1.61*12+100000000</f>
        <v>123184000</v>
      </c>
      <c r="K31" s="117" t="s">
        <v>101</v>
      </c>
    </row>
    <row r="32" spans="2:11" ht="69.75">
      <c r="B32" s="182"/>
      <c r="C32" s="232"/>
      <c r="D32" s="229"/>
      <c r="E32" s="14">
        <v>2012</v>
      </c>
      <c r="F32" s="103" t="s">
        <v>224</v>
      </c>
      <c r="G32" s="218"/>
      <c r="H32" s="115">
        <v>0</v>
      </c>
      <c r="I32" s="115">
        <f>2000000*12*1.61*2</f>
        <v>77280000</v>
      </c>
      <c r="J32" s="115">
        <f>1200000*1.61*12+100000000+10000000</f>
        <v>133184000</v>
      </c>
      <c r="K32" s="117" t="s">
        <v>101</v>
      </c>
    </row>
    <row r="33" spans="2:11" ht="69.75">
      <c r="B33" s="182"/>
      <c r="C33" s="232"/>
      <c r="D33" s="229"/>
      <c r="E33" s="14">
        <v>2013</v>
      </c>
      <c r="F33" s="103" t="s">
        <v>219</v>
      </c>
      <c r="G33" s="218"/>
      <c r="H33" s="115">
        <v>0</v>
      </c>
      <c r="I33" s="115">
        <f>35*1900000*1.15+2000000*12*1.61*2</f>
        <v>153755000</v>
      </c>
      <c r="J33" s="115">
        <f>1200000*1.61*12+10000000</f>
        <v>33184000.000000004</v>
      </c>
      <c r="K33" s="117" t="s">
        <v>101</v>
      </c>
    </row>
    <row r="34" spans="2:11" ht="70.5" thickBot="1">
      <c r="B34" s="183"/>
      <c r="C34" s="233"/>
      <c r="D34" s="230"/>
      <c r="E34" s="17">
        <v>2014</v>
      </c>
      <c r="F34" s="147" t="s">
        <v>223</v>
      </c>
      <c r="G34" s="219"/>
      <c r="H34" s="115">
        <v>0</v>
      </c>
      <c r="I34" s="115">
        <f>2000000*12*1.61*2</f>
        <v>77280000</v>
      </c>
      <c r="J34" s="115">
        <f>1200000*1.61*12+100000000+10000000</f>
        <v>133184000</v>
      </c>
      <c r="K34" s="117" t="s">
        <v>101</v>
      </c>
    </row>
    <row r="35" spans="2:11" ht="33" customHeight="1" thickBot="1">
      <c r="B35" s="19"/>
      <c r="C35" s="20"/>
      <c r="D35" s="20"/>
      <c r="E35" s="21"/>
      <c r="F35" s="21"/>
      <c r="G35" s="20"/>
      <c r="H35" s="107">
        <f>SUM(H29:H34)</f>
        <v>0</v>
      </c>
      <c r="I35" s="107">
        <f>SUM(I29:I34)</f>
        <v>634975000</v>
      </c>
      <c r="J35" s="107">
        <f>SUM(J29:J34)</f>
        <v>475920000</v>
      </c>
      <c r="K35" s="107">
        <f>+H35+I35+J35</f>
        <v>1110895000</v>
      </c>
    </row>
    <row r="36" ht="24" customHeight="1" thickBot="1"/>
    <row r="37" spans="2:11" ht="51.75" customHeight="1" thickBot="1">
      <c r="B37" s="22"/>
      <c r="C37" s="23"/>
      <c r="D37" s="23"/>
      <c r="E37" s="23"/>
      <c r="F37" s="23"/>
      <c r="G37" s="23"/>
      <c r="H37" s="112">
        <f>+H35+H26+H17</f>
        <v>902640000</v>
      </c>
      <c r="I37" s="112">
        <f>+I35+I26+I17</f>
        <v>1814975000</v>
      </c>
      <c r="J37" s="112">
        <f>+J35+J26+J17</f>
        <v>1065920000</v>
      </c>
      <c r="K37" s="107">
        <f>+H37+I37+J37</f>
        <v>3783535000</v>
      </c>
    </row>
    <row r="39" ht="15">
      <c r="K39" s="54"/>
    </row>
  </sheetData>
  <sheetProtection/>
  <mergeCells count="19">
    <mergeCell ref="B2:K2"/>
    <mergeCell ref="B5:K5"/>
    <mergeCell ref="C6:K6"/>
    <mergeCell ref="C7:K7"/>
    <mergeCell ref="C8:K8"/>
    <mergeCell ref="B11:B16"/>
    <mergeCell ref="C11:C16"/>
    <mergeCell ref="G11:G16"/>
    <mergeCell ref="D11:D16"/>
    <mergeCell ref="D29:D34"/>
    <mergeCell ref="E28:F28"/>
    <mergeCell ref="B29:B34"/>
    <mergeCell ref="C29:C34"/>
    <mergeCell ref="G29:G34"/>
    <mergeCell ref="E10:F10"/>
    <mergeCell ref="E19:F19"/>
    <mergeCell ref="B20:B25"/>
    <mergeCell ref="C20:C25"/>
    <mergeCell ref="G20:G25"/>
  </mergeCells>
  <printOptions/>
  <pageMargins left="1.31" right="0.7086614173228347" top="0.3" bottom="0.28" header="0.31496062992125984" footer="0.27"/>
  <pageSetup fitToHeight="1" fitToWidth="1" horizontalDpi="600" verticalDpi="600" orientation="landscape" paperSize="120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5"/>
  <sheetViews>
    <sheetView showGridLines="0" zoomScale="95" zoomScaleNormal="95" zoomScalePageLayoutView="0" workbookViewId="0" topLeftCell="C24">
      <selection activeCell="A1" sqref="A1:J36"/>
    </sheetView>
  </sheetViews>
  <sheetFormatPr defaultColWidth="11.421875" defaultRowHeight="15"/>
  <cols>
    <col min="1" max="1" width="3.57421875" style="0" customWidth="1"/>
    <col min="2" max="2" width="55.8515625" style="0" customWidth="1"/>
    <col min="3" max="3" width="40.421875" style="0" customWidth="1"/>
    <col min="4" max="9" width="32.57421875" style="0" customWidth="1"/>
    <col min="10" max="10" width="4.8515625" style="0" customWidth="1"/>
  </cols>
  <sheetData>
    <row r="3" spans="2:9" ht="31.5">
      <c r="B3" s="267" t="s">
        <v>64</v>
      </c>
      <c r="C3" s="267"/>
      <c r="D3" s="267"/>
      <c r="E3" s="267"/>
      <c r="F3" s="267"/>
      <c r="G3" s="267"/>
      <c r="H3" s="267"/>
      <c r="I3" s="267"/>
    </row>
    <row r="4" spans="2:9" ht="31.5">
      <c r="B4" s="36"/>
      <c r="C4" s="52"/>
      <c r="D4" s="36"/>
      <c r="E4" s="36"/>
      <c r="F4" s="36"/>
      <c r="G4" s="36"/>
      <c r="H4" s="36"/>
      <c r="I4" s="36"/>
    </row>
    <row r="5" ht="15.75" thickBot="1"/>
    <row r="6" spans="2:9" ht="45.75" customHeight="1" thickBot="1">
      <c r="B6" s="71" t="s">
        <v>65</v>
      </c>
      <c r="C6" s="55"/>
      <c r="D6" s="55">
        <v>2010</v>
      </c>
      <c r="E6" s="55">
        <v>2011</v>
      </c>
      <c r="F6" s="55">
        <v>2012</v>
      </c>
      <c r="G6" s="55">
        <v>2013</v>
      </c>
      <c r="H6" s="55">
        <v>2014</v>
      </c>
      <c r="I6" s="56" t="s">
        <v>66</v>
      </c>
    </row>
    <row r="7" spans="2:9" ht="55.5" customHeight="1" thickBot="1">
      <c r="B7" s="268" t="s">
        <v>67</v>
      </c>
      <c r="C7" s="90" t="s">
        <v>230</v>
      </c>
      <c r="D7" s="57">
        <f>+'DIRECCION Y ORGANIZACION'!H12+'DIRECCION Y ORGANIZACION'!H24+'DIRECCION Y ORGANIZACION'!H36</f>
        <v>206482500</v>
      </c>
      <c r="E7" s="58">
        <f>+'DIRECCION Y ORGANIZACION'!H13+'DIRECCION Y ORGANIZACION'!H25+'DIRECCION Y ORGANIZACION'!H37</f>
        <v>184747500</v>
      </c>
      <c r="F7" s="58">
        <f>+'DIRECCION Y ORGANIZACION'!H14+'DIRECCION Y ORGANIZACION'!H26+'DIRECCION Y ORGANIZACION'!H38</f>
        <v>177043650</v>
      </c>
      <c r="G7" s="58">
        <f>+'DIRECCION Y ORGANIZACION'!H15+'DIRECCION Y ORGANIZACION'!H27+'DIRECCION Y ORGANIZACION'!H39</f>
        <v>155308650</v>
      </c>
      <c r="H7" s="59">
        <f>+'DIRECCION Y ORGANIZACION'!H16+'DIRECCION Y ORGANIZACION'!H28+'DIRECCION Y ORGANIZACION'!H40</f>
        <v>125121150</v>
      </c>
      <c r="I7" s="75">
        <f aca="true" t="shared" si="0" ref="I7:I30">SUM(D7:H7)</f>
        <v>848703450</v>
      </c>
    </row>
    <row r="8" spans="2:9" ht="55.5" customHeight="1" thickBot="1">
      <c r="B8" s="269"/>
      <c r="C8" s="90" t="s">
        <v>229</v>
      </c>
      <c r="D8" s="60">
        <f>+'DIRECCION Y ORGANIZACION'!I12+'DIRECCION Y ORGANIZACION'!I24+'DIRECCION Y ORGANIZACION'!I36</f>
        <v>4000000</v>
      </c>
      <c r="E8" s="32">
        <f>+'DIRECCION Y ORGANIZACION'!I13+'DIRECCION Y ORGANIZACION'!I25+'DIRECCION Y ORGANIZACION'!I37</f>
        <v>5000000</v>
      </c>
      <c r="F8" s="32">
        <f>+'DIRECCION Y ORGANIZACION'!I14+'DIRECCION Y ORGANIZACION'!I26+'DIRECCION Y ORGANIZACION'!I38</f>
        <v>6000000</v>
      </c>
      <c r="G8" s="32">
        <f>+'DIRECCION Y ORGANIZACION'!I15+'DIRECCION Y ORGANIZACION'!I27+'DIRECCION Y ORGANIZACION'!I39</f>
        <v>6000000</v>
      </c>
      <c r="H8" s="33">
        <f>+'DIRECCION Y ORGANIZACION'!I16+'DIRECCION Y ORGANIZACION'!I28+'DIRECCION Y ORGANIZACION'!I40</f>
        <v>6000000</v>
      </c>
      <c r="I8" s="76">
        <f t="shared" si="0"/>
        <v>27000000</v>
      </c>
    </row>
    <row r="9" spans="2:9" ht="55.5" customHeight="1" thickBot="1">
      <c r="B9" s="269"/>
      <c r="C9" s="90" t="s">
        <v>227</v>
      </c>
      <c r="D9" s="61">
        <f>+'DIRECCION Y ORGANIZACION'!J12+'DIRECCION Y ORGANIZACION'!J24+'DIRECCION Y ORGANIZACION'!J36</f>
        <v>0</v>
      </c>
      <c r="E9" s="62">
        <f>+'DIRECCION Y ORGANIZACION'!J13+'DIRECCION Y ORGANIZACION'!J25+'DIRECCION Y ORGANIZACION'!J37</f>
        <v>0</v>
      </c>
      <c r="F9" s="62">
        <f>+'DIRECCION Y ORGANIZACION'!J14+'DIRECCION Y ORGANIZACION'!J26+'DIRECCION Y ORGANIZACION'!J38</f>
        <v>0</v>
      </c>
      <c r="G9" s="62">
        <f>+'DIRECCION Y ORGANIZACION'!J15+'DIRECCION Y ORGANIZACION'!J27+'DIRECCION Y ORGANIZACION'!J39</f>
        <v>0</v>
      </c>
      <c r="H9" s="63">
        <f>+'DIRECCION Y ORGANIZACION'!J16+'DIRECCION Y ORGANIZACION'!J28+'DIRECCION Y ORGANIZACION'!J40</f>
        <v>0</v>
      </c>
      <c r="I9" s="77">
        <f t="shared" si="0"/>
        <v>0</v>
      </c>
    </row>
    <row r="10" spans="2:9" ht="55.5" customHeight="1" thickBot="1">
      <c r="B10" s="270"/>
      <c r="C10" s="87" t="s">
        <v>231</v>
      </c>
      <c r="D10" s="84">
        <f>SUM(D7:D9)</f>
        <v>210482500</v>
      </c>
      <c r="E10" s="84">
        <f>SUM(E7:E9)</f>
        <v>189747500</v>
      </c>
      <c r="F10" s="84">
        <f>SUM(F7:F9)</f>
        <v>183043650</v>
      </c>
      <c r="G10" s="84">
        <f>SUM(G7:G9)</f>
        <v>161308650</v>
      </c>
      <c r="H10" s="85">
        <f>SUM(H7:H9)</f>
        <v>131121150</v>
      </c>
      <c r="I10" s="86">
        <f t="shared" si="0"/>
        <v>875703450</v>
      </c>
    </row>
    <row r="11" spans="2:9" ht="55.5" customHeight="1" thickBot="1">
      <c r="B11" s="271" t="s">
        <v>68</v>
      </c>
      <c r="C11" s="91" t="s">
        <v>230</v>
      </c>
      <c r="D11" s="64">
        <f>+'PEDAGOGICO Y DIDACTIVO'!H12+'PEDAGOGICO Y DIDACTIVO'!H21+'PEDAGOGICO Y DIDACTIVO'!H33+'PEDAGOGICO Y DIDACTIVO'!H44</f>
        <v>22388000</v>
      </c>
      <c r="E11" s="65">
        <f>+'PEDAGOGICO Y DIDACTIVO'!H13+'PEDAGOGICO Y DIDACTIVO'!H22+'PEDAGOGICO Y DIDACTIVO'!H34+'PEDAGOGICO Y DIDACTIVO'!H45</f>
        <v>46000000</v>
      </c>
      <c r="F11" s="65">
        <f>+'PEDAGOGICO Y DIDACTIVO'!H14+'PEDAGOGICO Y DIDACTIVO'!H23+'PEDAGOGICO Y DIDACTIVO'!H35+'PEDAGOGICO Y DIDACTIVO'!H46</f>
        <v>0</v>
      </c>
      <c r="G11" s="65">
        <f>+'PEDAGOGICO Y DIDACTIVO'!H15+'PEDAGOGICO Y DIDACTIVO'!H24+'PEDAGOGICO Y DIDACTIVO'!H36+'PEDAGOGICO Y DIDACTIVO'!H47</f>
        <v>0</v>
      </c>
      <c r="H11" s="66">
        <f>+'PEDAGOGICO Y DIDACTIVO'!H16+'PEDAGOGICO Y DIDACTIVO'!H25+'PEDAGOGICO Y DIDACTIVO'!H37+'PEDAGOGICO Y DIDACTIVO'!H48</f>
        <v>0</v>
      </c>
      <c r="I11" s="78">
        <f t="shared" si="0"/>
        <v>68388000</v>
      </c>
    </row>
    <row r="12" spans="2:9" ht="55.5" customHeight="1" thickBot="1">
      <c r="B12" s="272"/>
      <c r="C12" s="91" t="s">
        <v>229</v>
      </c>
      <c r="D12" s="67">
        <f>+'PEDAGOGICO Y DIDACTIVO'!I12+'PEDAGOGICO Y DIDACTIVO'!I21+'PEDAGOGICO Y DIDACTIVO'!I33+'PEDAGOGICO Y DIDACTIVO'!I44</f>
        <v>196000000</v>
      </c>
      <c r="E12" s="34">
        <f>+'PEDAGOGICO Y DIDACTIVO'!I13+'PEDAGOGICO Y DIDACTIVO'!I22+'PEDAGOGICO Y DIDACTIVO'!I34+'PEDAGOGICO Y DIDACTIVO'!I45</f>
        <v>99000000</v>
      </c>
      <c r="F12" s="34">
        <f>+'PEDAGOGICO Y DIDACTIVO'!I14+'PEDAGOGICO Y DIDACTIVO'!I23+'PEDAGOGICO Y DIDACTIVO'!I35+'PEDAGOGICO Y DIDACTIVO'!I46</f>
        <v>192000000</v>
      </c>
      <c r="G12" s="34">
        <f>+'PEDAGOGICO Y DIDACTIVO'!I15+'PEDAGOGICO Y DIDACTIVO'!I24+'PEDAGOGICO Y DIDACTIVO'!I36+'PEDAGOGICO Y DIDACTIVO'!I47</f>
        <v>176000000</v>
      </c>
      <c r="H12" s="35">
        <f>+'PEDAGOGICO Y DIDACTIVO'!I16+'PEDAGOGICO Y DIDACTIVO'!I25+'PEDAGOGICO Y DIDACTIVO'!I37+'PEDAGOGICO Y DIDACTIVO'!I48</f>
        <v>134000000</v>
      </c>
      <c r="I12" s="79">
        <f t="shared" si="0"/>
        <v>797000000</v>
      </c>
    </row>
    <row r="13" spans="2:9" ht="55.5" customHeight="1" thickBot="1">
      <c r="B13" s="272"/>
      <c r="C13" s="91" t="s">
        <v>227</v>
      </c>
      <c r="D13" s="68">
        <f>+'PEDAGOGICO Y DIDACTIVO'!J12+'PEDAGOGICO Y DIDACTIVO'!J21+'PEDAGOGICO Y DIDACTIVO'!J33+'PEDAGOGICO Y DIDACTIVO'!J44</f>
        <v>69000000</v>
      </c>
      <c r="E13" s="69">
        <f>+'PEDAGOGICO Y DIDACTIVO'!J13+'PEDAGOGICO Y DIDACTIVO'!J22+'PEDAGOGICO Y DIDACTIVO'!J34+'PEDAGOGICO Y DIDACTIVO'!J45</f>
        <v>111000000</v>
      </c>
      <c r="F13" s="69">
        <f>+'PEDAGOGICO Y DIDACTIVO'!J14+'PEDAGOGICO Y DIDACTIVO'!J23+'PEDAGOGICO Y DIDACTIVO'!J35+'PEDAGOGICO Y DIDACTIVO'!J46</f>
        <v>39000000</v>
      </c>
      <c r="G13" s="69">
        <f>+'PEDAGOGICO Y DIDACTIVO'!J15+'PEDAGOGICO Y DIDACTIVO'!J24+'PEDAGOGICO Y DIDACTIVO'!J36+'PEDAGOGICO Y DIDACTIVO'!J47</f>
        <v>0</v>
      </c>
      <c r="H13" s="70">
        <f>+'PEDAGOGICO Y DIDACTIVO'!J16+'PEDAGOGICO Y DIDACTIVO'!J25+'PEDAGOGICO Y DIDACTIVO'!J37+'PEDAGOGICO Y DIDACTIVO'!J48</f>
        <v>0</v>
      </c>
      <c r="I13" s="80">
        <f t="shared" si="0"/>
        <v>219000000</v>
      </c>
    </row>
    <row r="14" spans="2:9" ht="55.5" customHeight="1" thickBot="1">
      <c r="B14" s="263"/>
      <c r="C14" s="88" t="s">
        <v>231</v>
      </c>
      <c r="D14" s="81">
        <f>SUM(D11:D13)</f>
        <v>287388000</v>
      </c>
      <c r="E14" s="81">
        <f>SUM(E11:E13)</f>
        <v>256000000</v>
      </c>
      <c r="F14" s="81">
        <f>SUM(F11:F13)</f>
        <v>231000000</v>
      </c>
      <c r="G14" s="81">
        <f>SUM(G11:G13)</f>
        <v>176000000</v>
      </c>
      <c r="H14" s="81">
        <f>SUM(H11:H13)</f>
        <v>134000000</v>
      </c>
      <c r="I14" s="83">
        <f t="shared" si="0"/>
        <v>1084388000</v>
      </c>
    </row>
    <row r="15" spans="2:9" ht="55.5" customHeight="1" thickBot="1">
      <c r="B15" s="273" t="s">
        <v>69</v>
      </c>
      <c r="C15" s="90" t="s">
        <v>230</v>
      </c>
      <c r="D15" s="57">
        <f>+'PROCESOS FORMATIVOS'!H12+'PROCESOS FORMATIVOS'!H24+'PROCESOS FORMATIVOS'!H33+'PROCESOS FORMATIVOS'!H42</f>
        <v>0</v>
      </c>
      <c r="E15" s="58">
        <f>+'PROCESOS FORMATIVOS'!H13+'PROCESOS FORMATIVOS'!H25+'PROCESOS FORMATIVOS'!H34+'PROCESOS FORMATIVOS'!H43</f>
        <v>0</v>
      </c>
      <c r="F15" s="58">
        <f>+'PROCESOS FORMATIVOS'!H14+'PROCESOS FORMATIVOS'!H26+'PROCESOS FORMATIVOS'!H35+'PROCESOS FORMATIVOS'!H44</f>
        <v>0</v>
      </c>
      <c r="G15" s="58">
        <f>+'PROCESOS FORMATIVOS'!H15+'PROCESOS FORMATIVOS'!H27+'PROCESOS FORMATIVOS'!H36+'PROCESOS FORMATIVOS'!H45</f>
        <v>0</v>
      </c>
      <c r="H15" s="59">
        <f>+'PROCESOS FORMATIVOS'!H16+'PROCESOS FORMATIVOS'!H28+'PROCESOS FORMATIVOS'!H37+'PROCESOS FORMATIVOS'!H46</f>
        <v>0</v>
      </c>
      <c r="I15" s="75">
        <f t="shared" si="0"/>
        <v>0</v>
      </c>
    </row>
    <row r="16" spans="2:9" ht="55.5" customHeight="1" thickBot="1">
      <c r="B16" s="274"/>
      <c r="C16" s="90" t="s">
        <v>229</v>
      </c>
      <c r="D16" s="60">
        <f>+'PROCESOS FORMATIVOS'!I12+'PROCESOS FORMATIVOS'!I24+'PROCESOS FORMATIVOS'!I33+'PROCESOS FORMATIVOS'!I42</f>
        <v>245000000</v>
      </c>
      <c r="E16" s="32">
        <f>+'PROCESOS FORMATIVOS'!I13+'PROCESOS FORMATIVOS'!I25+'PROCESOS FORMATIVOS'!I34+'PROCESOS FORMATIVOS'!I43</f>
        <v>295500000</v>
      </c>
      <c r="F16" s="32">
        <f>+'PROCESOS FORMATIVOS'!I14+'PROCESOS FORMATIVOS'!I26+'PROCESOS FORMATIVOS'!I35+'PROCESOS FORMATIVOS'!I44</f>
        <v>327000000</v>
      </c>
      <c r="G16" s="32">
        <f>+'PROCESOS FORMATIVOS'!I15+'PROCESOS FORMATIVOS'!I27+'PROCESOS FORMATIVOS'!I36+'PROCESOS FORMATIVOS'!I45</f>
        <v>271250000</v>
      </c>
      <c r="H16" s="33">
        <f>+'PROCESOS FORMATIVOS'!I16+'PROCESOS FORMATIVOS'!I28+'PROCESOS FORMATIVOS'!I37+'PROCESOS FORMATIVOS'!I46</f>
        <v>127700000</v>
      </c>
      <c r="I16" s="76">
        <f t="shared" si="0"/>
        <v>1266450000</v>
      </c>
    </row>
    <row r="17" spans="2:9" ht="55.5" customHeight="1" thickBot="1">
      <c r="B17" s="274"/>
      <c r="C17" s="90" t="s">
        <v>227</v>
      </c>
      <c r="D17" s="61">
        <f>+'PROCESOS FORMATIVOS'!J24+'PROCESOS FORMATIVOS'!J33+'PROCESOS FORMATIVOS'!J42+'PROCESOS FORMATIVOS'!J12</f>
        <v>140000000</v>
      </c>
      <c r="E17" s="62">
        <f>+'PROCESOS FORMATIVOS'!J13+'PROCESOS FORMATIVOS'!J25+'PROCESOS FORMATIVOS'!J34+'PROCESOS FORMATIVOS'!J43</f>
        <v>112000000</v>
      </c>
      <c r="F17" s="62">
        <f>+'PROCESOS FORMATIVOS'!J14+'PROCESOS FORMATIVOS'!J26+'PROCESOS FORMATIVOS'!J35+'PROCESOS FORMATIVOS'!J44</f>
        <v>112000000</v>
      </c>
      <c r="G17" s="62">
        <f>+'PROCESOS FORMATIVOS'!J15+'PROCESOS FORMATIVOS'!J27+'PROCESOS FORMATIVOS'!J36+'PROCESOS FORMATIVOS'!J45</f>
        <v>100000000</v>
      </c>
      <c r="H17" s="63">
        <f>+'PROCESOS FORMATIVOS'!J16+'PROCESOS FORMATIVOS'!J28+'PROCESOS FORMATIVOS'!J37+'PROCESOS FORMATIVOS'!J46</f>
        <v>60000000</v>
      </c>
      <c r="I17" s="77">
        <f t="shared" si="0"/>
        <v>524000000</v>
      </c>
    </row>
    <row r="18" spans="2:9" ht="55.5" customHeight="1" thickBot="1">
      <c r="B18" s="275"/>
      <c r="C18" s="87" t="s">
        <v>231</v>
      </c>
      <c r="D18" s="84">
        <f>SUM(D15:D17)</f>
        <v>385000000</v>
      </c>
      <c r="E18" s="84">
        <f>SUM(E15:E17)</f>
        <v>407500000</v>
      </c>
      <c r="F18" s="84">
        <f>SUM(F15:F17)</f>
        <v>439000000</v>
      </c>
      <c r="G18" s="84">
        <f>SUM(G15:G17)</f>
        <v>371250000</v>
      </c>
      <c r="H18" s="85">
        <f>SUM(H15:H17)</f>
        <v>187700000</v>
      </c>
      <c r="I18" s="86">
        <f t="shared" si="0"/>
        <v>1790450000</v>
      </c>
    </row>
    <row r="19" spans="2:9" ht="55.5" customHeight="1" thickBot="1">
      <c r="B19" s="261" t="s">
        <v>70</v>
      </c>
      <c r="C19" s="89" t="s">
        <v>230</v>
      </c>
      <c r="D19" s="64">
        <f>+'ESCENARIOS REFLEXIVOS'!H12+'ESCENARIOS REFLEXIVOS'!H21+'ESCENARIOS REFLEXIVOS'!H33</f>
        <v>5000000</v>
      </c>
      <c r="E19" s="65">
        <f>+'ESCENARIOS REFLEXIVOS'!H13+'ESCENARIOS REFLEXIVOS'!H22+'ESCENARIOS REFLEXIVOS'!H34</f>
        <v>5000000</v>
      </c>
      <c r="F19" s="65">
        <f>+'ESCENARIOS REFLEXIVOS'!H14+'ESCENARIOS REFLEXIVOS'!H23+'ESCENARIOS REFLEXIVOS'!H35</f>
        <v>5000000</v>
      </c>
      <c r="G19" s="65">
        <f>+'ESCENARIOS REFLEXIVOS'!H15+'ESCENARIOS REFLEXIVOS'!H24+'ESCENARIOS REFLEXIVOS'!H36</f>
        <v>5000000</v>
      </c>
      <c r="H19" s="66">
        <f>+'ESCENARIOS REFLEXIVOS'!H16+'ESCENARIOS REFLEXIVOS'!H25+'ESCENARIOS REFLEXIVOS'!H37</f>
        <v>2000000</v>
      </c>
      <c r="I19" s="78">
        <f t="shared" si="0"/>
        <v>22000000</v>
      </c>
    </row>
    <row r="20" spans="2:9" ht="55.5" customHeight="1" thickBot="1">
      <c r="B20" s="262"/>
      <c r="C20" s="89" t="s">
        <v>229</v>
      </c>
      <c r="D20" s="67">
        <f>+'ESCENARIOS REFLEXIVOS'!I12+'ESCENARIOS REFLEXIVOS'!I33</f>
        <v>0</v>
      </c>
      <c r="E20" s="34">
        <f>+'ESCENARIOS REFLEXIVOS'!I13+'ESCENARIOS REFLEXIVOS'!I22+'ESCENARIOS REFLEXIVOS'!I34</f>
        <v>0</v>
      </c>
      <c r="F20" s="34">
        <f>+'ESCENARIOS REFLEXIVOS'!I14+'ESCENARIOS REFLEXIVOS'!I23+'ESCENARIOS REFLEXIVOS'!I35</f>
        <v>0</v>
      </c>
      <c r="G20" s="34">
        <f>+'ESCENARIOS REFLEXIVOS'!I15+'ESCENARIOS REFLEXIVOS'!I24+'ESCENARIOS REFLEXIVOS'!I36</f>
        <v>0</v>
      </c>
      <c r="H20" s="35">
        <f>+'ESCENARIOS REFLEXIVOS'!I16+'ESCENARIOS REFLEXIVOS'!I25+'ESCENARIOS REFLEXIVOS'!I37</f>
        <v>0</v>
      </c>
      <c r="I20" s="79">
        <f t="shared" si="0"/>
        <v>0</v>
      </c>
    </row>
    <row r="21" spans="2:9" ht="55.5" customHeight="1" thickBot="1">
      <c r="B21" s="262"/>
      <c r="C21" s="89" t="s">
        <v>227</v>
      </c>
      <c r="D21" s="68">
        <f>+'ESCENARIOS REFLEXIVOS'!J12+'ESCENARIOS REFLEXIVOS'!J21+'ESCENARIOS REFLEXIVOS'!J33</f>
        <v>30000000</v>
      </c>
      <c r="E21" s="69">
        <f>+'ESCENARIOS REFLEXIVOS'!J13+'ESCENARIOS REFLEXIVOS'!J22+'ESCENARIOS REFLEXIVOS'!J34</f>
        <v>50000000</v>
      </c>
      <c r="F21" s="69">
        <f>+'ESCENARIOS REFLEXIVOS'!J14+'ESCENARIOS REFLEXIVOS'!J23+'ESCENARIOS REFLEXIVOS'!J35</f>
        <v>70000000</v>
      </c>
      <c r="G21" s="69">
        <f>+'ESCENARIOS REFLEXIVOS'!J15+'ESCENARIOS REFLEXIVOS'!J24+'ESCENARIOS REFLEXIVOS'!J36</f>
        <v>50000000</v>
      </c>
      <c r="H21" s="70">
        <f>+'ESCENARIOS REFLEXIVOS'!J16+'ESCENARIOS REFLEXIVOS'!J25+'ESCENARIOS REFLEXIVOS'!J37</f>
        <v>65000000</v>
      </c>
      <c r="I21" s="80">
        <f t="shared" si="0"/>
        <v>265000000</v>
      </c>
    </row>
    <row r="22" spans="2:9" ht="55.5" customHeight="1" thickBot="1">
      <c r="B22" s="263"/>
      <c r="C22" s="88" t="s">
        <v>231</v>
      </c>
      <c r="D22" s="81">
        <f>SUM(D19:D21)</f>
        <v>35000000</v>
      </c>
      <c r="E22" s="81">
        <f>SUM(E19:E21)</f>
        <v>55000000</v>
      </c>
      <c r="F22" s="81">
        <f>SUM(F19:F21)</f>
        <v>75000000</v>
      </c>
      <c r="G22" s="81">
        <f>SUM(G19:G21)</f>
        <v>55000000</v>
      </c>
      <c r="H22" s="82">
        <f>SUM(H19:H21)</f>
        <v>67000000</v>
      </c>
      <c r="I22" s="83">
        <f t="shared" si="0"/>
        <v>287000000</v>
      </c>
    </row>
    <row r="23" spans="2:9" ht="55.5" customHeight="1" thickBot="1">
      <c r="B23" s="273" t="s">
        <v>71</v>
      </c>
      <c r="C23" s="90" t="s">
        <v>230</v>
      </c>
      <c r="D23" s="57">
        <f>+'INNOVACION ALIANZA'!H12</f>
        <v>43470000</v>
      </c>
      <c r="E23" s="58">
        <f>+'INNOVACION ALIANZA'!H13</f>
        <v>43470000</v>
      </c>
      <c r="F23" s="58">
        <f>+'INNOVACION ALIANZA'!H14</f>
        <v>34776000</v>
      </c>
      <c r="G23" s="58">
        <f>+'INNOVACION ALIANZA'!H15</f>
        <v>34776000</v>
      </c>
      <c r="H23" s="59">
        <f>+'INNOVACION ALIANZA'!H16</f>
        <v>26082000</v>
      </c>
      <c r="I23" s="75">
        <f t="shared" si="0"/>
        <v>182574000</v>
      </c>
    </row>
    <row r="24" spans="2:9" ht="55.5" customHeight="1" thickBot="1">
      <c r="B24" s="274"/>
      <c r="C24" s="90" t="s">
        <v>229</v>
      </c>
      <c r="D24" s="60">
        <f>+'INNOVACION ALIANZA'!I12</f>
        <v>15000000</v>
      </c>
      <c r="E24" s="32">
        <f>+'INNOVACION ALIANZA'!I13</f>
        <v>15000000</v>
      </c>
      <c r="F24" s="32">
        <f>+'INNOVACION ALIANZA'!I14</f>
        <v>15000000</v>
      </c>
      <c r="G24" s="32">
        <f>+'INNOVACION ALIANZA'!I15</f>
        <v>15000000</v>
      </c>
      <c r="H24" s="33">
        <f>+'INNOVACION ALIANZA'!I16</f>
        <v>15000000</v>
      </c>
      <c r="I24" s="76">
        <f t="shared" si="0"/>
        <v>75000000</v>
      </c>
    </row>
    <row r="25" spans="2:9" ht="55.5" customHeight="1" thickBot="1">
      <c r="B25" s="274"/>
      <c r="C25" s="90" t="s">
        <v>227</v>
      </c>
      <c r="D25" s="61">
        <f>+'INNOVACION ALIANZA'!J12</f>
        <v>0</v>
      </c>
      <c r="E25" s="62">
        <f>+'INNOVACION ALIANZA'!J13</f>
        <v>0</v>
      </c>
      <c r="F25" s="62">
        <f>+'INNOVACION ALIANZA'!J14</f>
        <v>0</v>
      </c>
      <c r="G25" s="62">
        <f>+'INNOVACION ALIANZA'!J15</f>
        <v>0</v>
      </c>
      <c r="H25" s="63">
        <f>+'INNOVACION ALIANZA'!J16</f>
        <v>0</v>
      </c>
      <c r="I25" s="77">
        <f t="shared" si="0"/>
        <v>0</v>
      </c>
    </row>
    <row r="26" spans="2:9" ht="55.5" customHeight="1" thickBot="1">
      <c r="B26" s="275"/>
      <c r="C26" s="87" t="s">
        <v>231</v>
      </c>
      <c r="D26" s="84">
        <f>SUM(D23:D25)</f>
        <v>58470000</v>
      </c>
      <c r="E26" s="84">
        <f>SUM(E23:E25)</f>
        <v>58470000</v>
      </c>
      <c r="F26" s="84">
        <f>SUM(F23:F25)</f>
        <v>49776000</v>
      </c>
      <c r="G26" s="84">
        <f>SUM(G23:G25)</f>
        <v>49776000</v>
      </c>
      <c r="H26" s="85">
        <f>SUM(H23:H25)</f>
        <v>41082000</v>
      </c>
      <c r="I26" s="86">
        <f t="shared" si="0"/>
        <v>257574000</v>
      </c>
    </row>
    <row r="27" spans="2:9" ht="55.5" customHeight="1" thickBot="1">
      <c r="B27" s="261" t="s">
        <v>72</v>
      </c>
      <c r="C27" s="91" t="s">
        <v>230</v>
      </c>
      <c r="D27" s="64">
        <f>+'TECNOLOGIA E INFRAESTRUCTURA'!H12+'TECNOLOGIA E INFRAESTRUCTURA'!H21+'TECNOLOGIA E INFRAESTRUCTURA'!H30</f>
        <v>415660000</v>
      </c>
      <c r="E27" s="65">
        <f>+'TECNOLOGIA E INFRAESTRUCTURA'!H13+'TECNOLOGIA E INFRAESTRUCTURA'!H22+'TECNOLOGIA E INFRAESTRUCTURA'!H31</f>
        <v>155660000</v>
      </c>
      <c r="F27" s="65">
        <f>+'TECNOLOGIA E INFRAESTRUCTURA'!H14+'TECNOLOGIA E INFRAESTRUCTURA'!H23+'TECNOLOGIA E INFRAESTRUCTURA'!H32</f>
        <v>111745000</v>
      </c>
      <c r="G27" s="65">
        <f>+'TECNOLOGIA E INFRAESTRUCTURA'!H15+'TECNOLOGIA E INFRAESTRUCTURA'!H24+'TECNOLOGIA E INFRAESTRUCTURA'!H33</f>
        <v>111745000</v>
      </c>
      <c r="H27" s="66">
        <f>+'TECNOLOGIA E INFRAESTRUCTURA'!H16+'TECNOLOGIA E INFRAESTRUCTURA'!H25+'TECNOLOGIA E INFRAESTRUCTURA'!H34</f>
        <v>107830000</v>
      </c>
      <c r="I27" s="78">
        <f t="shared" si="0"/>
        <v>902640000</v>
      </c>
    </row>
    <row r="28" spans="2:9" ht="55.5" customHeight="1" thickBot="1">
      <c r="B28" s="262"/>
      <c r="C28" s="91" t="s">
        <v>229</v>
      </c>
      <c r="D28" s="67">
        <f>+'TECNOLOGIA E INFRAESTRUCTURA'!I12+'TECNOLOGIA E INFRAESTRUCTURA'!I21+'TECNOLOGIA E INFRAESTRUCTURA'!I30</f>
        <v>49080000</v>
      </c>
      <c r="E28" s="34">
        <f>+'TECNOLOGIA E INFRAESTRUCTURA'!I13+'TECNOLOGIA E INFRAESTRUCTURA'!I22+'TECNOLOGIA E INFRAESTRUCTURA'!I31</f>
        <v>842580000</v>
      </c>
      <c r="F28" s="34">
        <f>+'TECNOLOGIA E INFRAESTRUCTURA'!I14+'TECNOLOGIA E INFRAESTRUCTURA'!I23+'TECNOLOGIA E INFRAESTRUCTURA'!I32</f>
        <v>282280000</v>
      </c>
      <c r="G28" s="34">
        <f>+'TECNOLOGIA E INFRAESTRUCTURA'!I15+'TECNOLOGIA E INFRAESTRUCTURA'!I24+'TECNOLOGIA E INFRAESTRUCTURA'!I33</f>
        <v>358755000</v>
      </c>
      <c r="H28" s="35">
        <f>+'TECNOLOGIA E INFRAESTRUCTURA'!I16+'TECNOLOGIA E INFRAESTRUCTURA'!I25+'TECNOLOGIA E INFRAESTRUCTURA'!I34</f>
        <v>282280000</v>
      </c>
      <c r="I28" s="79">
        <f t="shared" si="0"/>
        <v>1814975000</v>
      </c>
    </row>
    <row r="29" spans="2:9" ht="55.5" customHeight="1" thickBot="1">
      <c r="B29" s="262"/>
      <c r="C29" s="91" t="s">
        <v>227</v>
      </c>
      <c r="D29" s="68">
        <f>+'TECNOLOGIA E INFRAESTRUCTURA'!J12+'TECNOLOGIA E INFRAESTRUCTURA'!J21+'TECNOLOGIA E INFRAESTRUCTURA'!J30</f>
        <v>53184000</v>
      </c>
      <c r="E29" s="69">
        <f>+'TECNOLOGIA E INFRAESTRUCTURA'!J13+'TECNOLOGIA E INFRAESTRUCTURA'!J22+'TECNOLOGIA E INFRAESTRUCTURA'!J31</f>
        <v>218184000</v>
      </c>
      <c r="F29" s="69">
        <f>+'TECNOLOGIA E INFRAESTRUCTURA'!J14+'TECNOLOGIA E INFRAESTRUCTURA'!J23+'TECNOLOGIA E INFRAESTRUCTURA'!J32</f>
        <v>368184000</v>
      </c>
      <c r="G29" s="69">
        <f>+'TECNOLOGIA E INFRAESTRUCTURA'!J15+'TECNOLOGIA E INFRAESTRUCTURA'!J24+'TECNOLOGIA E INFRAESTRUCTURA'!J33</f>
        <v>173184000</v>
      </c>
      <c r="H29" s="70">
        <f>+'TECNOLOGIA E INFRAESTRUCTURA'!J16+'TECNOLOGIA E INFRAESTRUCTURA'!J25+'TECNOLOGIA E INFRAESTRUCTURA'!J34</f>
        <v>253184000</v>
      </c>
      <c r="I29" s="80">
        <f t="shared" si="0"/>
        <v>1065920000</v>
      </c>
    </row>
    <row r="30" spans="2:9" ht="55.5" customHeight="1" thickBot="1">
      <c r="B30" s="263"/>
      <c r="C30" s="88" t="s">
        <v>231</v>
      </c>
      <c r="D30" s="81">
        <f>SUM(D27:D29)</f>
        <v>517924000</v>
      </c>
      <c r="E30" s="81">
        <f>SUM(E27:E29)</f>
        <v>1216424000</v>
      </c>
      <c r="F30" s="81">
        <f>SUM(F27:F29)</f>
        <v>762209000</v>
      </c>
      <c r="G30" s="81">
        <f>SUM(G27:G29)</f>
        <v>643684000</v>
      </c>
      <c r="H30" s="82">
        <f>SUM(H27:H29)</f>
        <v>643294000</v>
      </c>
      <c r="I30" s="83">
        <f t="shared" si="0"/>
        <v>3783535000</v>
      </c>
    </row>
    <row r="31" spans="2:9" ht="35.25" customHeight="1" thickBot="1">
      <c r="B31" s="72" t="s">
        <v>236</v>
      </c>
      <c r="C31" s="73"/>
      <c r="D31" s="73">
        <f>+D30+D26+D22+D18+D14+D10</f>
        <v>1494264500</v>
      </c>
      <c r="E31" s="73">
        <f>+E30+E26+E22+E18+E14+E10</f>
        <v>2183141500</v>
      </c>
      <c r="F31" s="73">
        <f>+F30+F26+F22+F18+F14+F10</f>
        <v>1740028650</v>
      </c>
      <c r="G31" s="73">
        <f>+G30+G26+G22+G18+G14+G10</f>
        <v>1457018650</v>
      </c>
      <c r="H31" s="73">
        <f>+H30+H26+H22+H18+H14+H10</f>
        <v>1204197150</v>
      </c>
      <c r="I31" s="74">
        <f>+D31+E31+F31+G31+H31</f>
        <v>8078650450</v>
      </c>
    </row>
    <row r="32" spans="2:9" ht="29.25" thickBot="1">
      <c r="B32" s="264" t="s">
        <v>234</v>
      </c>
      <c r="C32" s="91" t="s">
        <v>230</v>
      </c>
      <c r="D32" s="64">
        <f>+D27+D23+D19+D15+D11+D7</f>
        <v>693000500</v>
      </c>
      <c r="E32" s="64">
        <f>+E27+E23+E19+E15+E11+E7</f>
        <v>434877500</v>
      </c>
      <c r="F32" s="64">
        <f>+F27+F23+F19+F15+F11+F7</f>
        <v>328564650</v>
      </c>
      <c r="G32" s="64">
        <f>+G27+G23+G19+G15+G11+G7</f>
        <v>306829650</v>
      </c>
      <c r="H32" s="64">
        <f>+H27+H23+H19+H15+H11+H7</f>
        <v>261033150</v>
      </c>
      <c r="I32" s="78">
        <f>SUM(D32:H32)</f>
        <v>2024305450</v>
      </c>
    </row>
    <row r="33" spans="2:9" ht="29.25" thickBot="1">
      <c r="B33" s="265"/>
      <c r="C33" s="91" t="s">
        <v>229</v>
      </c>
      <c r="D33" s="64">
        <f>+D28+D24+D20+D16+D12+D8</f>
        <v>509080000</v>
      </c>
      <c r="E33" s="64">
        <f aca="true" t="shared" si="1" ref="E33:H34">+E28+E24+E20+E16+E12+E8</f>
        <v>1257080000</v>
      </c>
      <c r="F33" s="64">
        <f t="shared" si="1"/>
        <v>822280000</v>
      </c>
      <c r="G33" s="64">
        <f t="shared" si="1"/>
        <v>827005000</v>
      </c>
      <c r="H33" s="64">
        <f t="shared" si="1"/>
        <v>564980000</v>
      </c>
      <c r="I33" s="79">
        <f>SUM(D33:H33)</f>
        <v>3980425000</v>
      </c>
    </row>
    <row r="34" spans="2:9" ht="29.25" thickBot="1">
      <c r="B34" s="265"/>
      <c r="C34" s="91" t="s">
        <v>227</v>
      </c>
      <c r="D34" s="64">
        <f>+D29+D25+D21+D17+D13+D9</f>
        <v>292184000</v>
      </c>
      <c r="E34" s="64">
        <f t="shared" si="1"/>
        <v>491184000</v>
      </c>
      <c r="F34" s="64">
        <f t="shared" si="1"/>
        <v>589184000</v>
      </c>
      <c r="G34" s="64">
        <f t="shared" si="1"/>
        <v>323184000</v>
      </c>
      <c r="H34" s="64">
        <f t="shared" si="1"/>
        <v>378184000</v>
      </c>
      <c r="I34" s="80">
        <f>SUM(D34:H34)</f>
        <v>2073920000</v>
      </c>
    </row>
    <row r="35" spans="2:9" ht="21" thickBot="1">
      <c r="B35" s="266"/>
      <c r="C35" s="93" t="s">
        <v>235</v>
      </c>
      <c r="D35" s="94">
        <f>SUM(D32:D34)</f>
        <v>1494264500</v>
      </c>
      <c r="E35" s="94">
        <f>SUM(E32:E34)</f>
        <v>2183141500</v>
      </c>
      <c r="F35" s="94">
        <f>SUM(F32:F34)</f>
        <v>1740028650</v>
      </c>
      <c r="G35" s="94">
        <f>SUM(G32:G34)</f>
        <v>1457018650</v>
      </c>
      <c r="H35" s="95">
        <f>SUM(H32:H34)</f>
        <v>1204197150</v>
      </c>
      <c r="I35" s="96">
        <f>SUM(D35:H35)</f>
        <v>8078650450</v>
      </c>
    </row>
  </sheetData>
  <sheetProtection/>
  <mergeCells count="8">
    <mergeCell ref="B27:B30"/>
    <mergeCell ref="B32:B35"/>
    <mergeCell ref="B3:I3"/>
    <mergeCell ref="B7:B10"/>
    <mergeCell ref="B11:B14"/>
    <mergeCell ref="B15:B18"/>
    <mergeCell ref="B19:B22"/>
    <mergeCell ref="B23:B26"/>
  </mergeCells>
  <printOptions horizontalCentered="1"/>
  <pageMargins left="0.39" right="0.29" top="0.38" bottom="0.27" header="0.31496062992125984" footer="0.31496062992125984"/>
  <pageSetup fitToHeight="1" fitToWidth="1" horizontalDpi="600" verticalDpi="600" orientation="landscape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5">
      <selection activeCell="B5" sqref="B5:B10"/>
    </sheetView>
  </sheetViews>
  <sheetFormatPr defaultColWidth="11.421875" defaultRowHeight="15"/>
  <cols>
    <col min="1" max="1" width="3.57421875" style="0" customWidth="1"/>
    <col min="2" max="2" width="37.00390625" style="0" customWidth="1"/>
    <col min="3" max="3" width="46.421875" style="0" customWidth="1"/>
    <col min="4" max="4" width="36.7109375" style="0" customWidth="1"/>
    <col min="5" max="5" width="27.421875" style="0" customWidth="1"/>
    <col min="6" max="6" width="27.28125" style="0" customWidth="1"/>
    <col min="7" max="7" width="3.57421875" style="0" customWidth="1"/>
  </cols>
  <sheetData>
    <row r="2" spans="2:6" ht="26.25">
      <c r="B2" s="276" t="s">
        <v>184</v>
      </c>
      <c r="C2" s="276"/>
      <c r="D2" s="276"/>
      <c r="E2" s="276"/>
      <c r="F2" s="276"/>
    </row>
    <row r="3" ht="15.75" thickBot="1"/>
    <row r="4" spans="2:6" ht="21">
      <c r="B4" s="37" t="s">
        <v>185</v>
      </c>
      <c r="C4" s="37" t="s">
        <v>186</v>
      </c>
      <c r="D4" s="37" t="s">
        <v>187</v>
      </c>
      <c r="E4" s="37" t="s">
        <v>188</v>
      </c>
      <c r="F4" s="37" t="s">
        <v>189</v>
      </c>
    </row>
    <row r="5" spans="2:6" ht="409.5" thickBot="1">
      <c r="B5" s="277" t="s">
        <v>190</v>
      </c>
      <c r="C5" s="38" t="s">
        <v>191</v>
      </c>
      <c r="D5" s="39" t="s">
        <v>192</v>
      </c>
      <c r="E5" s="40" t="s">
        <v>209</v>
      </c>
      <c r="F5" s="41" t="s">
        <v>193</v>
      </c>
    </row>
    <row r="6" spans="2:6" ht="115.5" thickBot="1">
      <c r="B6" s="278"/>
      <c r="C6" s="42" t="s">
        <v>194</v>
      </c>
      <c r="D6" s="43" t="s">
        <v>21</v>
      </c>
      <c r="E6" s="43" t="s">
        <v>195</v>
      </c>
      <c r="F6" s="43" t="s">
        <v>196</v>
      </c>
    </row>
    <row r="7" spans="2:6" ht="409.5" thickBot="1">
      <c r="B7" s="278"/>
      <c r="C7" s="44" t="s">
        <v>42</v>
      </c>
      <c r="D7" s="45" t="s">
        <v>197</v>
      </c>
      <c r="E7" s="46" t="s">
        <v>198</v>
      </c>
      <c r="F7" s="47" t="s">
        <v>199</v>
      </c>
    </row>
    <row r="8" spans="2:6" ht="141" thickBot="1">
      <c r="B8" s="278"/>
      <c r="C8" s="42" t="s">
        <v>200</v>
      </c>
      <c r="D8" s="48" t="s">
        <v>201</v>
      </c>
      <c r="E8" s="48" t="s">
        <v>210</v>
      </c>
      <c r="F8" s="43" t="s">
        <v>202</v>
      </c>
    </row>
    <row r="9" spans="2:6" ht="306.75" thickBot="1">
      <c r="B9" s="278"/>
      <c r="C9" s="42" t="s">
        <v>50</v>
      </c>
      <c r="D9" s="48" t="s">
        <v>203</v>
      </c>
      <c r="E9" s="48" t="s">
        <v>211</v>
      </c>
      <c r="F9" s="43" t="s">
        <v>204</v>
      </c>
    </row>
    <row r="10" spans="2:6" ht="77.25" thickBot="1">
      <c r="B10" s="279"/>
      <c r="C10" s="49" t="s">
        <v>205</v>
      </c>
      <c r="D10" s="50" t="s">
        <v>206</v>
      </c>
      <c r="E10" s="51" t="s">
        <v>207</v>
      </c>
      <c r="F10" s="50" t="s">
        <v>208</v>
      </c>
    </row>
  </sheetData>
  <sheetProtection/>
  <mergeCells count="2">
    <mergeCell ref="B2:F2"/>
    <mergeCell ref="B5:B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0"/>
  <sheetViews>
    <sheetView showGridLines="0" zoomScalePageLayoutView="0" workbookViewId="0" topLeftCell="A7">
      <selection activeCell="A1" sqref="A1:F11"/>
    </sheetView>
  </sheetViews>
  <sheetFormatPr defaultColWidth="11.421875" defaultRowHeight="15"/>
  <cols>
    <col min="1" max="1" width="3.57421875" style="0" customWidth="1"/>
    <col min="2" max="2" width="37.00390625" style="0" customWidth="1"/>
    <col min="3" max="3" width="46.421875" style="0" customWidth="1"/>
    <col min="4" max="4" width="36.7109375" style="0" customWidth="1"/>
    <col min="5" max="5" width="39.7109375" style="0" customWidth="1"/>
    <col min="6" max="6" width="3.57421875" style="0" customWidth="1"/>
  </cols>
  <sheetData>
    <row r="2" spans="2:5" ht="26.25">
      <c r="B2" s="276" t="s">
        <v>184</v>
      </c>
      <c r="C2" s="276"/>
      <c r="D2" s="276"/>
      <c r="E2" s="276"/>
    </row>
    <row r="3" ht="15.75" thickBot="1"/>
    <row r="4" spans="2:5" ht="21">
      <c r="B4" s="37" t="s">
        <v>185</v>
      </c>
      <c r="C4" s="37" t="s">
        <v>186</v>
      </c>
      <c r="D4" s="37" t="s">
        <v>187</v>
      </c>
      <c r="E4" s="37" t="s">
        <v>239</v>
      </c>
    </row>
    <row r="5" spans="2:5" ht="179.25" thickBot="1">
      <c r="B5" s="277" t="s">
        <v>190</v>
      </c>
      <c r="C5" s="38" t="s">
        <v>191</v>
      </c>
      <c r="D5" s="39" t="s">
        <v>192</v>
      </c>
      <c r="E5" s="280" t="s">
        <v>240</v>
      </c>
    </row>
    <row r="6" spans="2:5" ht="75.75" thickBot="1">
      <c r="B6" s="278"/>
      <c r="C6" s="42" t="s">
        <v>194</v>
      </c>
      <c r="D6" s="43" t="s">
        <v>21</v>
      </c>
      <c r="E6" s="281"/>
    </row>
    <row r="7" spans="2:5" ht="179.25" thickBot="1">
      <c r="B7" s="278"/>
      <c r="C7" s="44" t="s">
        <v>42</v>
      </c>
      <c r="D7" s="45" t="s">
        <v>197</v>
      </c>
      <c r="E7" s="281"/>
    </row>
    <row r="8" spans="2:5" ht="90" thickBot="1">
      <c r="B8" s="278"/>
      <c r="C8" s="42" t="s">
        <v>200</v>
      </c>
      <c r="D8" s="48" t="s">
        <v>201</v>
      </c>
      <c r="E8" s="281"/>
    </row>
    <row r="9" spans="2:5" ht="77.25" thickBot="1">
      <c r="B9" s="278"/>
      <c r="C9" s="42" t="s">
        <v>50</v>
      </c>
      <c r="D9" s="48" t="s">
        <v>203</v>
      </c>
      <c r="E9" s="281"/>
    </row>
    <row r="10" spans="2:5" ht="64.5" thickBot="1">
      <c r="B10" s="279"/>
      <c r="C10" s="49" t="s">
        <v>205</v>
      </c>
      <c r="D10" s="50" t="s">
        <v>206</v>
      </c>
      <c r="E10" s="282"/>
    </row>
  </sheetData>
  <sheetProtection/>
  <mergeCells count="3">
    <mergeCell ref="B2:E2"/>
    <mergeCell ref="B5:B10"/>
    <mergeCell ref="E5:E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aliyiyo</dc:creator>
  <cp:keywords/>
  <dc:description/>
  <cp:lastModifiedBy> </cp:lastModifiedBy>
  <cp:lastPrinted>2010-03-23T01:47:06Z</cp:lastPrinted>
  <dcterms:created xsi:type="dcterms:W3CDTF">2010-03-11T19:22:48Z</dcterms:created>
  <dcterms:modified xsi:type="dcterms:W3CDTF">2010-03-23T19:37:08Z</dcterms:modified>
  <cp:category/>
  <cp:version/>
  <cp:contentType/>
  <cp:contentStatus/>
</cp:coreProperties>
</file>